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tang26\Desktop\original data from Bloomberg\exxon mobile\"/>
    </mc:Choice>
  </mc:AlternateContent>
  <bookViews>
    <workbookView xWindow="10395" yWindow="-105" windowWidth="14850" windowHeight="12735"/>
  </bookViews>
  <sheets>
    <sheet name="Income - Adjusted" sheetId="2" r:id="rId1"/>
    <sheet name="Bal Sheet - Standardized" sheetId="3" r:id="rId2"/>
    <sheet name="Cash Flow - Standardized" sheetId="4" r:id="rId3"/>
    <sheet name="Per Share" sheetId="5" r:id="rId4"/>
    <sheet name="Stock Value" sheetId="6" r:id="rId5"/>
  </sheets>
  <calcPr calcId="152511"/>
</workbook>
</file>

<file path=xl/calcChain.xml><?xml version="1.0" encoding="utf-8"?>
<calcChain xmlns="http://schemas.openxmlformats.org/spreadsheetml/2006/main">
  <c r="AP14" i="6" l="1"/>
  <c r="AH14" i="6"/>
  <c r="Z14" i="6"/>
  <c r="R14" i="6"/>
  <c r="J14" i="6"/>
  <c r="AP13" i="6"/>
  <c r="AH13" i="6"/>
  <c r="Z13" i="6"/>
  <c r="R13" i="6"/>
  <c r="J13" i="6"/>
  <c r="AP12" i="6"/>
  <c r="AH12" i="6"/>
  <c r="Z12" i="6"/>
  <c r="R12" i="6"/>
  <c r="J12" i="6"/>
  <c r="AP10" i="6"/>
  <c r="AH10" i="6"/>
  <c r="Z10" i="6"/>
  <c r="R10" i="6"/>
  <c r="J10" i="6"/>
  <c r="AP9" i="6"/>
  <c r="AH9" i="6"/>
  <c r="Z9" i="6"/>
  <c r="R9" i="6"/>
  <c r="J9" i="6"/>
  <c r="AP8" i="6"/>
  <c r="AH8" i="6"/>
  <c r="Z8" i="6"/>
  <c r="R8" i="6"/>
  <c r="J8" i="6"/>
  <c r="AP7" i="6"/>
  <c r="AH7" i="6"/>
  <c r="Z7" i="6"/>
  <c r="R7" i="6"/>
  <c r="J7" i="6"/>
  <c r="AP6" i="6"/>
  <c r="AH6" i="6"/>
  <c r="Z6" i="6"/>
  <c r="R6" i="6"/>
  <c r="J6" i="6"/>
  <c r="AO14" i="6"/>
  <c r="AG14" i="6"/>
  <c r="Y14" i="6"/>
  <c r="Q14" i="6"/>
  <c r="I14" i="6"/>
  <c r="AO13" i="6"/>
  <c r="AG13" i="6"/>
  <c r="Y13" i="6"/>
  <c r="Q13" i="6"/>
  <c r="I13" i="6"/>
  <c r="AO12" i="6"/>
  <c r="AG12" i="6"/>
  <c r="Y12" i="6"/>
  <c r="Q12" i="6"/>
  <c r="I12" i="6"/>
  <c r="AO10" i="6"/>
  <c r="AG10" i="6"/>
  <c r="Y10" i="6"/>
  <c r="Q10" i="6"/>
  <c r="I10" i="6"/>
  <c r="AO9" i="6"/>
  <c r="AG9" i="6"/>
  <c r="Y9" i="6"/>
  <c r="Q9" i="6"/>
  <c r="I9" i="6"/>
  <c r="AO8" i="6"/>
  <c r="AG8" i="6"/>
  <c r="Y8" i="6"/>
  <c r="Q8" i="6"/>
  <c r="I8" i="6"/>
  <c r="AO7" i="6"/>
  <c r="AG7" i="6"/>
  <c r="Y7" i="6"/>
  <c r="Q7" i="6"/>
  <c r="I7" i="6"/>
  <c r="AO6" i="6"/>
  <c r="AG6" i="6"/>
  <c r="Y6" i="6"/>
  <c r="Q6" i="6"/>
  <c r="I6" i="6"/>
  <c r="AO27" i="5"/>
  <c r="AG27" i="5"/>
  <c r="Y27" i="5"/>
  <c r="Q27" i="5"/>
  <c r="I27" i="5"/>
  <c r="AO26" i="5"/>
  <c r="AG26" i="5"/>
  <c r="Y26" i="5"/>
  <c r="Q26" i="5"/>
  <c r="I26" i="5"/>
  <c r="AO25" i="5"/>
  <c r="AG25" i="5"/>
  <c r="Y25" i="5"/>
  <c r="Q25" i="5"/>
  <c r="I25" i="5"/>
  <c r="AO23" i="5"/>
  <c r="AG23" i="5"/>
  <c r="Y23" i="5"/>
  <c r="Q23" i="5"/>
  <c r="I23" i="5"/>
  <c r="AO22" i="5"/>
  <c r="AG22" i="5"/>
  <c r="Y22" i="5"/>
  <c r="Q22" i="5"/>
  <c r="I22" i="5"/>
  <c r="AO20" i="5"/>
  <c r="AG20" i="5"/>
  <c r="Y20" i="5"/>
  <c r="Q20" i="5"/>
  <c r="I20" i="5"/>
  <c r="AO19" i="5"/>
  <c r="AG19" i="5"/>
  <c r="Y19" i="5"/>
  <c r="Q19" i="5"/>
  <c r="I19" i="5"/>
  <c r="AO18" i="5"/>
  <c r="AG18" i="5"/>
  <c r="Y18" i="5"/>
  <c r="Q18" i="5"/>
  <c r="I18" i="5"/>
  <c r="AO17" i="5"/>
  <c r="AG17" i="5"/>
  <c r="Y17" i="5"/>
  <c r="Q17" i="5"/>
  <c r="I17" i="5"/>
  <c r="AO16" i="5"/>
  <c r="AG16" i="5"/>
  <c r="Y16" i="5"/>
  <c r="Q16" i="5"/>
  <c r="I16" i="5"/>
  <c r="AO15" i="5"/>
  <c r="AG15" i="5"/>
  <c r="Y15" i="5"/>
  <c r="Q15" i="5"/>
  <c r="I15" i="5"/>
  <c r="AO14" i="5"/>
  <c r="AG14" i="5"/>
  <c r="Y14" i="5"/>
  <c r="Q14" i="5"/>
  <c r="I14" i="5"/>
  <c r="AO13" i="5"/>
  <c r="AG13" i="5"/>
  <c r="Y13" i="5"/>
  <c r="Q13" i="5"/>
  <c r="I13" i="5"/>
  <c r="AO12" i="5"/>
  <c r="AG12" i="5"/>
  <c r="Y12" i="5"/>
  <c r="Q12" i="5"/>
  <c r="I12" i="5"/>
  <c r="AO11" i="5"/>
  <c r="AG11" i="5"/>
  <c r="Y11" i="5"/>
  <c r="Q11" i="5"/>
  <c r="I11" i="5"/>
  <c r="AO8" i="5"/>
  <c r="AG8" i="5"/>
  <c r="Y8" i="5"/>
  <c r="Q8" i="5"/>
  <c r="I8" i="5"/>
  <c r="AO7" i="5"/>
  <c r="AG7" i="5"/>
  <c r="Y7" i="5"/>
  <c r="Q7" i="5"/>
  <c r="AN14" i="6"/>
  <c r="AF14" i="6"/>
  <c r="X14" i="6"/>
  <c r="P14" i="6"/>
  <c r="H14" i="6"/>
  <c r="AN13" i="6"/>
  <c r="AF13" i="6"/>
  <c r="X13" i="6"/>
  <c r="P13" i="6"/>
  <c r="H13" i="6"/>
  <c r="AN12" i="6"/>
  <c r="AF12" i="6"/>
  <c r="X12" i="6"/>
  <c r="P12" i="6"/>
  <c r="H12" i="6"/>
  <c r="AN10" i="6"/>
  <c r="AF10" i="6"/>
  <c r="X10" i="6"/>
  <c r="P10" i="6"/>
  <c r="H10" i="6"/>
  <c r="AN9" i="6"/>
  <c r="AF9" i="6"/>
  <c r="X9" i="6"/>
  <c r="P9" i="6"/>
  <c r="H9" i="6"/>
  <c r="AN8" i="6"/>
  <c r="AF8" i="6"/>
  <c r="X8" i="6"/>
  <c r="P8" i="6"/>
  <c r="H8" i="6"/>
  <c r="AN7" i="6"/>
  <c r="AF7" i="6"/>
  <c r="X7" i="6"/>
  <c r="P7" i="6"/>
  <c r="H7" i="6"/>
  <c r="AN6" i="6"/>
  <c r="AF6" i="6"/>
  <c r="X6" i="6"/>
  <c r="P6" i="6"/>
  <c r="H6" i="6"/>
  <c r="AN27" i="5"/>
  <c r="AF27" i="5"/>
  <c r="X27" i="5"/>
  <c r="P27" i="5"/>
  <c r="H27" i="5"/>
  <c r="AN26" i="5"/>
  <c r="AF26" i="5"/>
  <c r="X26" i="5"/>
  <c r="P26" i="5"/>
  <c r="H26" i="5"/>
  <c r="AN25" i="5"/>
  <c r="AF25" i="5"/>
  <c r="X25" i="5"/>
  <c r="P25" i="5"/>
  <c r="H25" i="5"/>
  <c r="AN23" i="5"/>
  <c r="AF23" i="5"/>
  <c r="X23" i="5"/>
  <c r="P23" i="5"/>
  <c r="H23" i="5"/>
  <c r="AN22" i="5"/>
  <c r="AF22" i="5"/>
  <c r="X22" i="5"/>
  <c r="P22" i="5"/>
  <c r="H22" i="5"/>
  <c r="AN20" i="5"/>
  <c r="AF20" i="5"/>
  <c r="X20" i="5"/>
  <c r="P20" i="5"/>
  <c r="H20" i="5"/>
  <c r="AN19" i="5"/>
  <c r="AF19" i="5"/>
  <c r="X19" i="5"/>
  <c r="P19" i="5"/>
  <c r="H19" i="5"/>
  <c r="AN18" i="5"/>
  <c r="AF18" i="5"/>
  <c r="X18" i="5"/>
  <c r="P18" i="5"/>
  <c r="H18" i="5"/>
  <c r="AN17" i="5"/>
  <c r="AF17" i="5"/>
  <c r="X17" i="5"/>
  <c r="P17" i="5"/>
  <c r="H17" i="5"/>
  <c r="AN16" i="5"/>
  <c r="AF16" i="5"/>
  <c r="X16" i="5"/>
  <c r="P16" i="5"/>
  <c r="H16" i="5"/>
  <c r="AN15" i="5"/>
  <c r="AF15" i="5"/>
  <c r="X15" i="5"/>
  <c r="P15" i="5"/>
  <c r="H15" i="5"/>
  <c r="AN14" i="5"/>
  <c r="AF14" i="5"/>
  <c r="X14" i="5"/>
  <c r="P14" i="5"/>
  <c r="H14" i="5"/>
  <c r="AN13" i="5"/>
  <c r="AF13" i="5"/>
  <c r="X13" i="5"/>
  <c r="P13" i="5"/>
  <c r="H13" i="5"/>
  <c r="AN12" i="5"/>
  <c r="AF12" i="5"/>
  <c r="X12" i="5"/>
  <c r="P12" i="5"/>
  <c r="H12" i="5"/>
  <c r="AN11" i="5"/>
  <c r="AF11" i="5"/>
  <c r="X11" i="5"/>
  <c r="P11" i="5"/>
  <c r="H11" i="5"/>
  <c r="AN8" i="5"/>
  <c r="AF8" i="5"/>
  <c r="X8" i="5"/>
  <c r="P8" i="5"/>
  <c r="H8" i="5"/>
  <c r="AN7" i="5"/>
  <c r="AF7" i="5"/>
  <c r="X7" i="5"/>
  <c r="P7" i="5"/>
  <c r="H7" i="5"/>
  <c r="AM14" i="6"/>
  <c r="AE14" i="6"/>
  <c r="W14" i="6"/>
  <c r="O14" i="6"/>
  <c r="G14" i="6"/>
  <c r="AM13" i="6"/>
  <c r="AE13" i="6"/>
  <c r="W13" i="6"/>
  <c r="O13" i="6"/>
  <c r="G13" i="6"/>
  <c r="AM12" i="6"/>
  <c r="AE12" i="6"/>
  <c r="W12" i="6"/>
  <c r="O12" i="6"/>
  <c r="G12" i="6"/>
  <c r="AM10" i="6"/>
  <c r="AE10" i="6"/>
  <c r="W10" i="6"/>
  <c r="O10" i="6"/>
  <c r="G10" i="6"/>
  <c r="AM9" i="6"/>
  <c r="AE9" i="6"/>
  <c r="W9" i="6"/>
  <c r="O9" i="6"/>
  <c r="G9" i="6"/>
  <c r="AM8" i="6"/>
  <c r="AE8" i="6"/>
  <c r="W8" i="6"/>
  <c r="O8" i="6"/>
  <c r="G8" i="6"/>
  <c r="AM7" i="6"/>
  <c r="AE7" i="6"/>
  <c r="W7" i="6"/>
  <c r="O7" i="6"/>
  <c r="G7" i="6"/>
  <c r="AM6" i="6"/>
  <c r="AE6" i="6"/>
  <c r="W6" i="6"/>
  <c r="O6" i="6"/>
  <c r="G6" i="6"/>
  <c r="AM27" i="5"/>
  <c r="AE27" i="5"/>
  <c r="W27" i="5"/>
  <c r="O27" i="5"/>
  <c r="G27" i="5"/>
  <c r="AM26" i="5"/>
  <c r="AE26" i="5"/>
  <c r="W26" i="5"/>
  <c r="O26" i="5"/>
  <c r="G26" i="5"/>
  <c r="AM25" i="5"/>
  <c r="AE25" i="5"/>
  <c r="W25" i="5"/>
  <c r="O25" i="5"/>
  <c r="G25" i="5"/>
  <c r="AM23" i="5"/>
  <c r="AE23" i="5"/>
  <c r="W23" i="5"/>
  <c r="O23" i="5"/>
  <c r="G23" i="5"/>
  <c r="AM22" i="5"/>
  <c r="AE22" i="5"/>
  <c r="W22" i="5"/>
  <c r="O22" i="5"/>
  <c r="G22" i="5"/>
  <c r="AM20" i="5"/>
  <c r="AE20" i="5"/>
  <c r="W20" i="5"/>
  <c r="O20" i="5"/>
  <c r="G20" i="5"/>
  <c r="AM19" i="5"/>
  <c r="AE19" i="5"/>
  <c r="W19" i="5"/>
  <c r="O19" i="5"/>
  <c r="G19" i="5"/>
  <c r="AM18" i="5"/>
  <c r="AE18" i="5"/>
  <c r="W18" i="5"/>
  <c r="O18" i="5"/>
  <c r="G18" i="5"/>
  <c r="AM17" i="5"/>
  <c r="AE17" i="5"/>
  <c r="W17" i="5"/>
  <c r="O17" i="5"/>
  <c r="G17" i="5"/>
  <c r="AM16" i="5"/>
  <c r="AE16" i="5"/>
  <c r="W16" i="5"/>
  <c r="O16" i="5"/>
  <c r="G16" i="5"/>
  <c r="AM15" i="5"/>
  <c r="AE15" i="5"/>
  <c r="W15" i="5"/>
  <c r="O15" i="5"/>
  <c r="G15" i="5"/>
  <c r="AM14" i="5"/>
  <c r="AE14" i="5"/>
  <c r="W14" i="5"/>
  <c r="O14" i="5"/>
  <c r="G14" i="5"/>
  <c r="AM13" i="5"/>
  <c r="AE13" i="5"/>
  <c r="W13" i="5"/>
  <c r="O13" i="5"/>
  <c r="G13" i="5"/>
  <c r="AM12" i="5"/>
  <c r="AE12" i="5"/>
  <c r="W12" i="5"/>
  <c r="O12" i="5"/>
  <c r="G12" i="5"/>
  <c r="AM11" i="5"/>
  <c r="AE11" i="5"/>
  <c r="W11" i="5"/>
  <c r="O11" i="5"/>
  <c r="G11" i="5"/>
  <c r="AM8" i="5"/>
  <c r="AE8" i="5"/>
  <c r="W8" i="5"/>
  <c r="O8" i="5"/>
  <c r="G8" i="5"/>
  <c r="AM7" i="5"/>
  <c r="AE7" i="5"/>
  <c r="W7" i="5"/>
  <c r="O7" i="5"/>
  <c r="AL14" i="6"/>
  <c r="AD14" i="6"/>
  <c r="V14" i="6"/>
  <c r="N14" i="6"/>
  <c r="F14" i="6"/>
  <c r="AL13" i="6"/>
  <c r="AD13" i="6"/>
  <c r="V13" i="6"/>
  <c r="N13" i="6"/>
  <c r="F13" i="6"/>
  <c r="AL12" i="6"/>
  <c r="AD12" i="6"/>
  <c r="V12" i="6"/>
  <c r="N12" i="6"/>
  <c r="F12" i="6"/>
  <c r="AL10" i="6"/>
  <c r="AD10" i="6"/>
  <c r="V10" i="6"/>
  <c r="N10" i="6"/>
  <c r="F10" i="6"/>
  <c r="AL9" i="6"/>
  <c r="AD9" i="6"/>
  <c r="V9" i="6"/>
  <c r="N9" i="6"/>
  <c r="F9" i="6"/>
  <c r="AL8" i="6"/>
  <c r="AD8" i="6"/>
  <c r="V8" i="6"/>
  <c r="N8" i="6"/>
  <c r="F8" i="6"/>
  <c r="AL7" i="6"/>
  <c r="AD7" i="6"/>
  <c r="V7" i="6"/>
  <c r="N7" i="6"/>
  <c r="F7" i="6"/>
  <c r="AL6" i="6"/>
  <c r="AD6" i="6"/>
  <c r="V6" i="6"/>
  <c r="N6" i="6"/>
  <c r="F6" i="6"/>
  <c r="AL27" i="5"/>
  <c r="AD27" i="5"/>
  <c r="V27" i="5"/>
  <c r="N27" i="5"/>
  <c r="F27" i="5"/>
  <c r="AL26" i="5"/>
  <c r="AD26" i="5"/>
  <c r="V26" i="5"/>
  <c r="N26" i="5"/>
  <c r="F26" i="5"/>
  <c r="AL25" i="5"/>
  <c r="AD25" i="5"/>
  <c r="V25" i="5"/>
  <c r="N25" i="5"/>
  <c r="F25" i="5"/>
  <c r="AL23" i="5"/>
  <c r="AD23" i="5"/>
  <c r="V23" i="5"/>
  <c r="N23" i="5"/>
  <c r="F23" i="5"/>
  <c r="AL22" i="5"/>
  <c r="AD22" i="5"/>
  <c r="V22" i="5"/>
  <c r="N22" i="5"/>
  <c r="F22" i="5"/>
  <c r="AL20" i="5"/>
  <c r="AD20" i="5"/>
  <c r="V20" i="5"/>
  <c r="N20" i="5"/>
  <c r="F20" i="5"/>
  <c r="AL19" i="5"/>
  <c r="AD19" i="5"/>
  <c r="V19" i="5"/>
  <c r="N19" i="5"/>
  <c r="F19" i="5"/>
  <c r="AL18" i="5"/>
  <c r="AD18" i="5"/>
  <c r="V18" i="5"/>
  <c r="N18" i="5"/>
  <c r="F18" i="5"/>
  <c r="AL17" i="5"/>
  <c r="AD17" i="5"/>
  <c r="V17" i="5"/>
  <c r="N17" i="5"/>
  <c r="F17" i="5"/>
  <c r="AL16" i="5"/>
  <c r="AD16" i="5"/>
  <c r="V16" i="5"/>
  <c r="N16" i="5"/>
  <c r="F16" i="5"/>
  <c r="AL15" i="5"/>
  <c r="AD15" i="5"/>
  <c r="V15" i="5"/>
  <c r="N15" i="5"/>
  <c r="F15" i="5"/>
  <c r="AL14" i="5"/>
  <c r="AD14" i="5"/>
  <c r="V14" i="5"/>
  <c r="N14" i="5"/>
  <c r="F14" i="5"/>
  <c r="AL13" i="5"/>
  <c r="AD13" i="5"/>
  <c r="V13" i="5"/>
  <c r="N13" i="5"/>
  <c r="F13" i="5"/>
  <c r="AL12" i="5"/>
  <c r="AD12" i="5"/>
  <c r="V12" i="5"/>
  <c r="N12" i="5"/>
  <c r="F12" i="5"/>
  <c r="AL11" i="5"/>
  <c r="AD11" i="5"/>
  <c r="V11" i="5"/>
  <c r="N11" i="5"/>
  <c r="F11" i="5"/>
  <c r="AL8" i="5"/>
  <c r="AD8" i="5"/>
  <c r="V8" i="5"/>
  <c r="N8" i="5"/>
  <c r="F8" i="5"/>
  <c r="AL7" i="5"/>
  <c r="AD7" i="5"/>
  <c r="V7" i="5"/>
  <c r="N7" i="5"/>
  <c r="F7" i="5"/>
  <c r="AK14" i="6"/>
  <c r="AC14" i="6"/>
  <c r="U14" i="6"/>
  <c r="M14" i="6"/>
  <c r="E14" i="6"/>
  <c r="AK13" i="6"/>
  <c r="AC13" i="6"/>
  <c r="U13" i="6"/>
  <c r="M13" i="6"/>
  <c r="E13" i="6"/>
  <c r="AK12" i="6"/>
  <c r="AC12" i="6"/>
  <c r="U12" i="6"/>
  <c r="M12" i="6"/>
  <c r="E12" i="6"/>
  <c r="AK10" i="6"/>
  <c r="AC10" i="6"/>
  <c r="U10" i="6"/>
  <c r="M10" i="6"/>
  <c r="E10" i="6"/>
  <c r="AK9" i="6"/>
  <c r="AC9" i="6"/>
  <c r="U9" i="6"/>
  <c r="M9" i="6"/>
  <c r="E9" i="6"/>
  <c r="AK8" i="6"/>
  <c r="AC8" i="6"/>
  <c r="U8" i="6"/>
  <c r="M8" i="6"/>
  <c r="E8" i="6"/>
  <c r="AK7" i="6"/>
  <c r="AC7" i="6"/>
  <c r="U7" i="6"/>
  <c r="M7" i="6"/>
  <c r="E7" i="6"/>
  <c r="AK6" i="6"/>
  <c r="AC6" i="6"/>
  <c r="U6" i="6"/>
  <c r="M6" i="6"/>
  <c r="E6" i="6"/>
  <c r="AK27" i="5"/>
  <c r="AC27" i="5"/>
  <c r="U27" i="5"/>
  <c r="M27" i="5"/>
  <c r="E27" i="5"/>
  <c r="AK26" i="5"/>
  <c r="AC26" i="5"/>
  <c r="U26" i="5"/>
  <c r="M26" i="5"/>
  <c r="E26" i="5"/>
  <c r="AK25" i="5"/>
  <c r="AC25" i="5"/>
  <c r="U25" i="5"/>
  <c r="M25" i="5"/>
  <c r="E25" i="5"/>
  <c r="AK23" i="5"/>
  <c r="AC23" i="5"/>
  <c r="U23" i="5"/>
  <c r="M23" i="5"/>
  <c r="E23" i="5"/>
  <c r="AK22" i="5"/>
  <c r="AC22" i="5"/>
  <c r="U22" i="5"/>
  <c r="M22" i="5"/>
  <c r="E22" i="5"/>
  <c r="AK20" i="5"/>
  <c r="AC20" i="5"/>
  <c r="U20" i="5"/>
  <c r="M20" i="5"/>
  <c r="E20" i="5"/>
  <c r="AK19" i="5"/>
  <c r="AC19" i="5"/>
  <c r="U19" i="5"/>
  <c r="M19" i="5"/>
  <c r="E19" i="5"/>
  <c r="AK18" i="5"/>
  <c r="AC18" i="5"/>
  <c r="U18" i="5"/>
  <c r="M18" i="5"/>
  <c r="E18" i="5"/>
  <c r="AK17" i="5"/>
  <c r="AC17" i="5"/>
  <c r="U17" i="5"/>
  <c r="M17" i="5"/>
  <c r="E17" i="5"/>
  <c r="AK16" i="5"/>
  <c r="AC16" i="5"/>
  <c r="U16" i="5"/>
  <c r="M16" i="5"/>
  <c r="E16" i="5"/>
  <c r="AK15" i="5"/>
  <c r="AC15" i="5"/>
  <c r="U15" i="5"/>
  <c r="M15" i="5"/>
  <c r="E15" i="5"/>
  <c r="AK14" i="5"/>
  <c r="AC14" i="5"/>
  <c r="U14" i="5"/>
  <c r="M14" i="5"/>
  <c r="E14" i="5"/>
  <c r="AK13" i="5"/>
  <c r="AC13" i="5"/>
  <c r="U13" i="5"/>
  <c r="M13" i="5"/>
  <c r="E13" i="5"/>
  <c r="AK12" i="5"/>
  <c r="AC12" i="5"/>
  <c r="U12" i="5"/>
  <c r="M12" i="5"/>
  <c r="E12" i="5"/>
  <c r="AK11" i="5"/>
  <c r="AC11" i="5"/>
  <c r="U11" i="5"/>
  <c r="M11" i="5"/>
  <c r="E11" i="5"/>
  <c r="AK8" i="5"/>
  <c r="AC8" i="5"/>
  <c r="U8" i="5"/>
  <c r="M8" i="5"/>
  <c r="E8" i="5"/>
  <c r="AK7" i="5"/>
  <c r="AC7" i="5"/>
  <c r="U7" i="5"/>
  <c r="M7" i="5"/>
  <c r="E7" i="5"/>
  <c r="AK6" i="5"/>
  <c r="AC6" i="5"/>
  <c r="AJ14" i="6"/>
  <c r="AB14" i="6"/>
  <c r="T14" i="6"/>
  <c r="L14" i="6"/>
  <c r="D14" i="6"/>
  <c r="AJ13" i="6"/>
  <c r="AB13" i="6"/>
  <c r="T13" i="6"/>
  <c r="L13" i="6"/>
  <c r="D13" i="6"/>
  <c r="AJ12" i="6"/>
  <c r="AB12" i="6"/>
  <c r="T12" i="6"/>
  <c r="L12" i="6"/>
  <c r="D12" i="6"/>
  <c r="AJ10" i="6"/>
  <c r="AB10" i="6"/>
  <c r="T10" i="6"/>
  <c r="L10" i="6"/>
  <c r="D10" i="6"/>
  <c r="AJ9" i="6"/>
  <c r="AB9" i="6"/>
  <c r="T9" i="6"/>
  <c r="L9" i="6"/>
  <c r="D9" i="6"/>
  <c r="AJ8" i="6"/>
  <c r="AB8" i="6"/>
  <c r="T8" i="6"/>
  <c r="L8" i="6"/>
  <c r="D8" i="6"/>
  <c r="AJ7" i="6"/>
  <c r="AB7" i="6"/>
  <c r="T7" i="6"/>
  <c r="L7" i="6"/>
  <c r="D7" i="6"/>
  <c r="AJ6" i="6"/>
  <c r="AB6" i="6"/>
  <c r="T6" i="6"/>
  <c r="L6" i="6"/>
  <c r="D6" i="6"/>
  <c r="AJ27" i="5"/>
  <c r="AB27" i="5"/>
  <c r="T27" i="5"/>
  <c r="L27" i="5"/>
  <c r="D27" i="5"/>
  <c r="AJ26" i="5"/>
  <c r="AB26" i="5"/>
  <c r="T26" i="5"/>
  <c r="L26" i="5"/>
  <c r="D26" i="5"/>
  <c r="AJ25" i="5"/>
  <c r="AB25" i="5"/>
  <c r="T25" i="5"/>
  <c r="L25" i="5"/>
  <c r="D25" i="5"/>
  <c r="AJ23" i="5"/>
  <c r="AB23" i="5"/>
  <c r="T23" i="5"/>
  <c r="L23" i="5"/>
  <c r="D23" i="5"/>
  <c r="AJ22" i="5"/>
  <c r="AB22" i="5"/>
  <c r="T22" i="5"/>
  <c r="L22" i="5"/>
  <c r="D22" i="5"/>
  <c r="AJ20" i="5"/>
  <c r="AB20" i="5"/>
  <c r="T20" i="5"/>
  <c r="L20" i="5"/>
  <c r="D20" i="5"/>
  <c r="AJ19" i="5"/>
  <c r="AB19" i="5"/>
  <c r="T19" i="5"/>
  <c r="L19" i="5"/>
  <c r="D19" i="5"/>
  <c r="AJ18" i="5"/>
  <c r="AB18" i="5"/>
  <c r="T18" i="5"/>
  <c r="L18" i="5"/>
  <c r="D18" i="5"/>
  <c r="AJ17" i="5"/>
  <c r="AB17" i="5"/>
  <c r="T17" i="5"/>
  <c r="L17" i="5"/>
  <c r="D17" i="5"/>
  <c r="AJ16" i="5"/>
  <c r="AB16" i="5"/>
  <c r="T16" i="5"/>
  <c r="L16" i="5"/>
  <c r="D16" i="5"/>
  <c r="AJ15" i="5"/>
  <c r="AB15" i="5"/>
  <c r="T15" i="5"/>
  <c r="L15" i="5"/>
  <c r="D15" i="5"/>
  <c r="AJ14" i="5"/>
  <c r="AB14" i="5"/>
  <c r="T14" i="5"/>
  <c r="L14" i="5"/>
  <c r="D14" i="5"/>
  <c r="AJ13" i="5"/>
  <c r="AB13" i="5"/>
  <c r="T13" i="5"/>
  <c r="L13" i="5"/>
  <c r="D13" i="5"/>
  <c r="AJ12" i="5"/>
  <c r="AB12" i="5"/>
  <c r="T12" i="5"/>
  <c r="L12" i="5"/>
  <c r="D12" i="5"/>
  <c r="AJ11" i="5"/>
  <c r="AB11" i="5"/>
  <c r="T11" i="5"/>
  <c r="L11" i="5"/>
  <c r="D11" i="5"/>
  <c r="AJ8" i="5"/>
  <c r="AB8" i="5"/>
  <c r="T8" i="5"/>
  <c r="L8" i="5"/>
  <c r="D8" i="5"/>
  <c r="AJ7" i="5"/>
  <c r="AB7" i="5"/>
  <c r="T7" i="5"/>
  <c r="L7" i="5"/>
  <c r="D7" i="5"/>
  <c r="AI14" i="6"/>
  <c r="K13" i="6"/>
  <c r="AA10" i="6"/>
  <c r="C9" i="6"/>
  <c r="S7" i="6"/>
  <c r="AP27" i="5"/>
  <c r="J27" i="5"/>
  <c r="R26" i="5"/>
  <c r="Z25" i="5"/>
  <c r="AH23" i="5"/>
  <c r="AP22" i="5"/>
  <c r="J22" i="5"/>
  <c r="R20" i="5"/>
  <c r="Z19" i="5"/>
  <c r="AH18" i="5"/>
  <c r="AP17" i="5"/>
  <c r="J17" i="5"/>
  <c r="R16" i="5"/>
  <c r="Z15" i="5"/>
  <c r="AH14" i="5"/>
  <c r="AP13" i="5"/>
  <c r="J13" i="5"/>
  <c r="R12" i="5"/>
  <c r="Z11" i="5"/>
  <c r="AH8" i="5"/>
  <c r="AP7" i="5"/>
  <c r="J7" i="5"/>
  <c r="AL6" i="5"/>
  <c r="AB6" i="5"/>
  <c r="T6" i="5"/>
  <c r="L6" i="5"/>
  <c r="D6" i="5"/>
  <c r="AJ51" i="4"/>
  <c r="AB51" i="4"/>
  <c r="T51" i="4"/>
  <c r="L51" i="4"/>
  <c r="D51" i="4"/>
  <c r="AJ50" i="4"/>
  <c r="AB50" i="4"/>
  <c r="T50" i="4"/>
  <c r="L50" i="4"/>
  <c r="D50" i="4"/>
  <c r="AJ49" i="4"/>
  <c r="AB49" i="4"/>
  <c r="T49" i="4"/>
  <c r="L49" i="4"/>
  <c r="D49" i="4"/>
  <c r="AJ48" i="4"/>
  <c r="AB48" i="4"/>
  <c r="T48" i="4"/>
  <c r="L48" i="4"/>
  <c r="D48" i="4"/>
  <c r="AJ47" i="4"/>
  <c r="AB47" i="4"/>
  <c r="T47" i="4"/>
  <c r="L47" i="4"/>
  <c r="D47" i="4"/>
  <c r="AJ46" i="4"/>
  <c r="AB46" i="4"/>
  <c r="T46" i="4"/>
  <c r="L46" i="4"/>
  <c r="D46" i="4"/>
  <c r="AJ45" i="4"/>
  <c r="AB45" i="4"/>
  <c r="T45" i="4"/>
  <c r="L45" i="4"/>
  <c r="D45" i="4"/>
  <c r="AJ44" i="4"/>
  <c r="AB44" i="4"/>
  <c r="T44" i="4"/>
  <c r="L44" i="4"/>
  <c r="D44" i="4"/>
  <c r="AJ43" i="4"/>
  <c r="AB43" i="4"/>
  <c r="T43" i="4"/>
  <c r="L43" i="4"/>
  <c r="D43" i="4"/>
  <c r="AJ42" i="4"/>
  <c r="AB42" i="4"/>
  <c r="T42" i="4"/>
  <c r="L42" i="4"/>
  <c r="D42" i="4"/>
  <c r="AJ39" i="4"/>
  <c r="AB39" i="4"/>
  <c r="T39" i="4"/>
  <c r="L39" i="4"/>
  <c r="D39" i="4"/>
  <c r="AJ38" i="4"/>
  <c r="AB38" i="4"/>
  <c r="T38" i="4"/>
  <c r="L38" i="4"/>
  <c r="D38" i="4"/>
  <c r="AJ36" i="4"/>
  <c r="AB36" i="4"/>
  <c r="T36" i="4"/>
  <c r="L36" i="4"/>
  <c r="D36" i="4"/>
  <c r="AJ33" i="4"/>
  <c r="AB33" i="4"/>
  <c r="T33" i="4"/>
  <c r="L33" i="4"/>
  <c r="D33" i="4"/>
  <c r="AJ32" i="4"/>
  <c r="AB32" i="4"/>
  <c r="T32" i="4"/>
  <c r="L32" i="4"/>
  <c r="D32" i="4"/>
  <c r="AJ31" i="4"/>
  <c r="AB31" i="4"/>
  <c r="T31" i="4"/>
  <c r="L31" i="4"/>
  <c r="D31" i="4"/>
  <c r="AJ30" i="4"/>
  <c r="AB30" i="4"/>
  <c r="T30" i="4"/>
  <c r="L30" i="4"/>
  <c r="D30" i="4"/>
  <c r="AJ29" i="4"/>
  <c r="AB29" i="4"/>
  <c r="T29" i="4"/>
  <c r="L29" i="4"/>
  <c r="D29" i="4"/>
  <c r="AJ28" i="4"/>
  <c r="AB28" i="4"/>
  <c r="T28" i="4"/>
  <c r="L28" i="4"/>
  <c r="D28" i="4"/>
  <c r="AA14" i="6"/>
  <c r="C13" i="6"/>
  <c r="S10" i="6"/>
  <c r="AI8" i="6"/>
  <c r="K7" i="6"/>
  <c r="AI27" i="5"/>
  <c r="C27" i="5"/>
  <c r="K26" i="5"/>
  <c r="S25" i="5"/>
  <c r="AA23" i="5"/>
  <c r="AI22" i="5"/>
  <c r="C22" i="5"/>
  <c r="K20" i="5"/>
  <c r="S19" i="5"/>
  <c r="AA18" i="5"/>
  <c r="AI17" i="5"/>
  <c r="C17" i="5"/>
  <c r="K16" i="5"/>
  <c r="S15" i="5"/>
  <c r="AA14" i="5"/>
  <c r="AI13" i="5"/>
  <c r="C13" i="5"/>
  <c r="K12" i="5"/>
  <c r="S11" i="5"/>
  <c r="AA8" i="5"/>
  <c r="AI7" i="5"/>
  <c r="I7" i="5"/>
  <c r="AJ6" i="5"/>
  <c r="AA6" i="5"/>
  <c r="S6" i="5"/>
  <c r="K6" i="5"/>
  <c r="C6" i="5"/>
  <c r="AI51" i="4"/>
  <c r="AA51" i="4"/>
  <c r="S51" i="4"/>
  <c r="K51" i="4"/>
  <c r="C51" i="4"/>
  <c r="AI50" i="4"/>
  <c r="AA50" i="4"/>
  <c r="S50" i="4"/>
  <c r="K50" i="4"/>
  <c r="C50" i="4"/>
  <c r="AI49" i="4"/>
  <c r="AA49" i="4"/>
  <c r="S49" i="4"/>
  <c r="K49" i="4"/>
  <c r="C49" i="4"/>
  <c r="AI48" i="4"/>
  <c r="AA48" i="4"/>
  <c r="S48" i="4"/>
  <c r="K48" i="4"/>
  <c r="C48" i="4"/>
  <c r="AI47" i="4"/>
  <c r="AA47" i="4"/>
  <c r="S47" i="4"/>
  <c r="K47" i="4"/>
  <c r="C47" i="4"/>
  <c r="AI46" i="4"/>
  <c r="AA46" i="4"/>
  <c r="S46" i="4"/>
  <c r="K46" i="4"/>
  <c r="C46" i="4"/>
  <c r="AI45" i="4"/>
  <c r="AA45" i="4"/>
  <c r="S45" i="4"/>
  <c r="K45" i="4"/>
  <c r="C45" i="4"/>
  <c r="AI44" i="4"/>
  <c r="AA44" i="4"/>
  <c r="S44" i="4"/>
  <c r="K44" i="4"/>
  <c r="C44" i="4"/>
  <c r="AI43" i="4"/>
  <c r="AA43" i="4"/>
  <c r="S43" i="4"/>
  <c r="K43" i="4"/>
  <c r="C43" i="4"/>
  <c r="AI42" i="4"/>
  <c r="AA42" i="4"/>
  <c r="S42" i="4"/>
  <c r="K42" i="4"/>
  <c r="C42" i="4"/>
  <c r="AI39" i="4"/>
  <c r="AA39" i="4"/>
  <c r="S39" i="4"/>
  <c r="K39" i="4"/>
  <c r="C39" i="4"/>
  <c r="S14" i="6"/>
  <c r="AI12" i="6"/>
  <c r="K10" i="6"/>
  <c r="AA8" i="6"/>
  <c r="C7" i="6"/>
  <c r="AH27" i="5"/>
  <c r="AP26" i="5"/>
  <c r="J26" i="5"/>
  <c r="R25" i="5"/>
  <c r="Z23" i="5"/>
  <c r="AH22" i="5"/>
  <c r="AP20" i="5"/>
  <c r="J20" i="5"/>
  <c r="R19" i="5"/>
  <c r="Z18" i="5"/>
  <c r="AH17" i="5"/>
  <c r="AP16" i="5"/>
  <c r="J16" i="5"/>
  <c r="R15" i="5"/>
  <c r="Z14" i="5"/>
  <c r="AH13" i="5"/>
  <c r="AP12" i="5"/>
  <c r="J12" i="5"/>
  <c r="R11" i="5"/>
  <c r="Z8" i="5"/>
  <c r="AH7" i="5"/>
  <c r="G7" i="5"/>
  <c r="AI6" i="5"/>
  <c r="Z6" i="5"/>
  <c r="R6" i="5"/>
  <c r="J6" i="5"/>
  <c r="AP51" i="4"/>
  <c r="AH51" i="4"/>
  <c r="Z51" i="4"/>
  <c r="R51" i="4"/>
  <c r="J51" i="4"/>
  <c r="AP50" i="4"/>
  <c r="AH50" i="4"/>
  <c r="Z50" i="4"/>
  <c r="R50" i="4"/>
  <c r="J50" i="4"/>
  <c r="AP49" i="4"/>
  <c r="AH49" i="4"/>
  <c r="Z49" i="4"/>
  <c r="R49" i="4"/>
  <c r="J49" i="4"/>
  <c r="AP48" i="4"/>
  <c r="AH48" i="4"/>
  <c r="Z48" i="4"/>
  <c r="R48" i="4"/>
  <c r="J48" i="4"/>
  <c r="AP47" i="4"/>
  <c r="AH47" i="4"/>
  <c r="Z47" i="4"/>
  <c r="R47" i="4"/>
  <c r="J47" i="4"/>
  <c r="AP46" i="4"/>
  <c r="AH46" i="4"/>
  <c r="Z46" i="4"/>
  <c r="R46" i="4"/>
  <c r="J46" i="4"/>
  <c r="AP45" i="4"/>
  <c r="AH45" i="4"/>
  <c r="Z45" i="4"/>
  <c r="R45" i="4"/>
  <c r="J45" i="4"/>
  <c r="AP44" i="4"/>
  <c r="AH44" i="4"/>
  <c r="Z44" i="4"/>
  <c r="R44" i="4"/>
  <c r="J44" i="4"/>
  <c r="AP43" i="4"/>
  <c r="AH43" i="4"/>
  <c r="Z43" i="4"/>
  <c r="R43" i="4"/>
  <c r="J43" i="4"/>
  <c r="AP42" i="4"/>
  <c r="AH42" i="4"/>
  <c r="Z42" i="4"/>
  <c r="R42" i="4"/>
  <c r="J42" i="4"/>
  <c r="AP39" i="4"/>
  <c r="AH39" i="4"/>
  <c r="Z39" i="4"/>
  <c r="R39" i="4"/>
  <c r="J39" i="4"/>
  <c r="AP38" i="4"/>
  <c r="AH38" i="4"/>
  <c r="Z38" i="4"/>
  <c r="R38" i="4"/>
  <c r="J38" i="4"/>
  <c r="AP36" i="4"/>
  <c r="AH36" i="4"/>
  <c r="Z36" i="4"/>
  <c r="R36" i="4"/>
  <c r="J36" i="4"/>
  <c r="AP33" i="4"/>
  <c r="AH33" i="4"/>
  <c r="Z33" i="4"/>
  <c r="R33" i="4"/>
  <c r="J33" i="4"/>
  <c r="AP32" i="4"/>
  <c r="AH32" i="4"/>
  <c r="Z32" i="4"/>
  <c r="R32" i="4"/>
  <c r="J32" i="4"/>
  <c r="AP31" i="4"/>
  <c r="AH31" i="4"/>
  <c r="Z31" i="4"/>
  <c r="R31" i="4"/>
  <c r="J31" i="4"/>
  <c r="AP30" i="4"/>
  <c r="AH30" i="4"/>
  <c r="Z30" i="4"/>
  <c r="R30" i="4"/>
  <c r="J30" i="4"/>
  <c r="AP29" i="4"/>
  <c r="AH29" i="4"/>
  <c r="Z29" i="4"/>
  <c r="R29" i="4"/>
  <c r="J29" i="4"/>
  <c r="AP28" i="4"/>
  <c r="AH28" i="4"/>
  <c r="Z28" i="4"/>
  <c r="R28" i="4"/>
  <c r="J28" i="4"/>
  <c r="K14" i="6"/>
  <c r="AA12" i="6"/>
  <c r="C10" i="6"/>
  <c r="S8" i="6"/>
  <c r="AI6" i="6"/>
  <c r="AA27" i="5"/>
  <c r="AI26" i="5"/>
  <c r="C26" i="5"/>
  <c r="K25" i="5"/>
  <c r="S23" i="5"/>
  <c r="AA22" i="5"/>
  <c r="AI20" i="5"/>
  <c r="C20" i="5"/>
  <c r="K19" i="5"/>
  <c r="S18" i="5"/>
  <c r="AA17" i="5"/>
  <c r="AI16" i="5"/>
  <c r="C16" i="5"/>
  <c r="K15" i="5"/>
  <c r="S14" i="5"/>
  <c r="AA13" i="5"/>
  <c r="AI12" i="5"/>
  <c r="C12" i="5"/>
  <c r="K11" i="5"/>
  <c r="S8" i="5"/>
  <c r="AA7" i="5"/>
  <c r="C7" i="5"/>
  <c r="AH6" i="5"/>
  <c r="Y6" i="5"/>
  <c r="Q6" i="5"/>
  <c r="I6" i="5"/>
  <c r="AO51" i="4"/>
  <c r="AG51" i="4"/>
  <c r="Y51" i="4"/>
  <c r="Q51" i="4"/>
  <c r="I51" i="4"/>
  <c r="AO50" i="4"/>
  <c r="AG50" i="4"/>
  <c r="Y50" i="4"/>
  <c r="Q50" i="4"/>
  <c r="I50" i="4"/>
  <c r="AO49" i="4"/>
  <c r="AG49" i="4"/>
  <c r="Y49" i="4"/>
  <c r="Q49" i="4"/>
  <c r="I49" i="4"/>
  <c r="AO48" i="4"/>
  <c r="AG48" i="4"/>
  <c r="Y48" i="4"/>
  <c r="Q48" i="4"/>
  <c r="I48" i="4"/>
  <c r="AO47" i="4"/>
  <c r="AG47" i="4"/>
  <c r="Y47" i="4"/>
  <c r="Q47" i="4"/>
  <c r="I47" i="4"/>
  <c r="AO46" i="4"/>
  <c r="AG46" i="4"/>
  <c r="Y46" i="4"/>
  <c r="Q46" i="4"/>
  <c r="I46" i="4"/>
  <c r="AO45" i="4"/>
  <c r="AG45" i="4"/>
  <c r="Y45" i="4"/>
  <c r="Q45" i="4"/>
  <c r="I45" i="4"/>
  <c r="AO44" i="4"/>
  <c r="AG44" i="4"/>
  <c r="Y44" i="4"/>
  <c r="Q44" i="4"/>
  <c r="I44" i="4"/>
  <c r="AO43" i="4"/>
  <c r="AG43" i="4"/>
  <c r="Y43" i="4"/>
  <c r="Q43" i="4"/>
  <c r="I43" i="4"/>
  <c r="AO42" i="4"/>
  <c r="AG42" i="4"/>
  <c r="Y42" i="4"/>
  <c r="Q42" i="4"/>
  <c r="I42" i="4"/>
  <c r="AO39" i="4"/>
  <c r="AG39" i="4"/>
  <c r="C14" i="6"/>
  <c r="S12" i="6"/>
  <c r="AI9" i="6"/>
  <c r="K8" i="6"/>
  <c r="AA6" i="6"/>
  <c r="Z27" i="5"/>
  <c r="AH26" i="5"/>
  <c r="AP25" i="5"/>
  <c r="J25" i="5"/>
  <c r="R23" i="5"/>
  <c r="Z22" i="5"/>
  <c r="AH20" i="5"/>
  <c r="AP19" i="5"/>
  <c r="J19" i="5"/>
  <c r="R18" i="5"/>
  <c r="Z17" i="5"/>
  <c r="AH16" i="5"/>
  <c r="AP15" i="5"/>
  <c r="J15" i="5"/>
  <c r="R14" i="5"/>
  <c r="Z13" i="5"/>
  <c r="AH12" i="5"/>
  <c r="AP11" i="5"/>
  <c r="J11" i="5"/>
  <c r="R8" i="5"/>
  <c r="Z7" i="5"/>
  <c r="AP6" i="5"/>
  <c r="AG6" i="5"/>
  <c r="X6" i="5"/>
  <c r="P6" i="5"/>
  <c r="H6" i="5"/>
  <c r="AN51" i="4"/>
  <c r="AF51" i="4"/>
  <c r="X51" i="4"/>
  <c r="P51" i="4"/>
  <c r="H51" i="4"/>
  <c r="AN50" i="4"/>
  <c r="AF50" i="4"/>
  <c r="X50" i="4"/>
  <c r="P50" i="4"/>
  <c r="H50" i="4"/>
  <c r="AN49" i="4"/>
  <c r="AF49" i="4"/>
  <c r="X49" i="4"/>
  <c r="P49" i="4"/>
  <c r="H49" i="4"/>
  <c r="AN48" i="4"/>
  <c r="AF48" i="4"/>
  <c r="X48" i="4"/>
  <c r="P48" i="4"/>
  <c r="H48" i="4"/>
  <c r="AN47" i="4"/>
  <c r="AF47" i="4"/>
  <c r="X47" i="4"/>
  <c r="AI13" i="6"/>
  <c r="K12" i="6"/>
  <c r="AA9" i="6"/>
  <c r="C8" i="6"/>
  <c r="S6" i="6"/>
  <c r="S27" i="5"/>
  <c r="AA26" i="5"/>
  <c r="AI25" i="5"/>
  <c r="C25" i="5"/>
  <c r="K23" i="5"/>
  <c r="S22" i="5"/>
  <c r="AA20" i="5"/>
  <c r="AI19" i="5"/>
  <c r="C19" i="5"/>
  <c r="K18" i="5"/>
  <c r="S17" i="5"/>
  <c r="AA16" i="5"/>
  <c r="AI15" i="5"/>
  <c r="C15" i="5"/>
  <c r="K14" i="5"/>
  <c r="S13" i="5"/>
  <c r="AA12" i="5"/>
  <c r="AI11" i="5"/>
  <c r="C11" i="5"/>
  <c r="K8" i="5"/>
  <c r="S7" i="5"/>
  <c r="AO6" i="5"/>
  <c r="AF6" i="5"/>
  <c r="W6" i="5"/>
  <c r="O6" i="5"/>
  <c r="G6" i="5"/>
  <c r="AM51" i="4"/>
  <c r="AE51" i="4"/>
  <c r="W51" i="4"/>
  <c r="O51" i="4"/>
  <c r="G51" i="4"/>
  <c r="AM50" i="4"/>
  <c r="AE50" i="4"/>
  <c r="W50" i="4"/>
  <c r="O50" i="4"/>
  <c r="G50" i="4"/>
  <c r="AM49" i="4"/>
  <c r="AE49" i="4"/>
  <c r="W49" i="4"/>
  <c r="O49" i="4"/>
  <c r="G49" i="4"/>
  <c r="AM48" i="4"/>
  <c r="AE48" i="4"/>
  <c r="W48" i="4"/>
  <c r="O48" i="4"/>
  <c r="G48" i="4"/>
  <c r="AM47" i="4"/>
  <c r="AE47" i="4"/>
  <c r="W47" i="4"/>
  <c r="O47" i="4"/>
  <c r="G47" i="4"/>
  <c r="AM46" i="4"/>
  <c r="AE46" i="4"/>
  <c r="W46" i="4"/>
  <c r="O46" i="4"/>
  <c r="G46" i="4"/>
  <c r="AM45" i="4"/>
  <c r="AE45" i="4"/>
  <c r="W45" i="4"/>
  <c r="O45" i="4"/>
  <c r="G45" i="4"/>
  <c r="AM44" i="4"/>
  <c r="AE44" i="4"/>
  <c r="W44" i="4"/>
  <c r="O44" i="4"/>
  <c r="G44" i="4"/>
  <c r="AM43" i="4"/>
  <c r="AE43" i="4"/>
  <c r="W43" i="4"/>
  <c r="O43" i="4"/>
  <c r="G43" i="4"/>
  <c r="AM42" i="4"/>
  <c r="AE42" i="4"/>
  <c r="W42" i="4"/>
  <c r="O42" i="4"/>
  <c r="G42" i="4"/>
  <c r="AM39" i="4"/>
  <c r="AE39" i="4"/>
  <c r="W39" i="4"/>
  <c r="O39" i="4"/>
  <c r="G39" i="4"/>
  <c r="AM38" i="4"/>
  <c r="AE38" i="4"/>
  <c r="W38" i="4"/>
  <c r="O38" i="4"/>
  <c r="G38" i="4"/>
  <c r="AM36" i="4"/>
  <c r="AE36" i="4"/>
  <c r="W36" i="4"/>
  <c r="O36" i="4"/>
  <c r="G36" i="4"/>
  <c r="AM33" i="4"/>
  <c r="AE33" i="4"/>
  <c r="W33" i="4"/>
  <c r="O33" i="4"/>
  <c r="G33" i="4"/>
  <c r="AM32" i="4"/>
  <c r="AE32" i="4"/>
  <c r="W32" i="4"/>
  <c r="O32" i="4"/>
  <c r="G32" i="4"/>
  <c r="AM31" i="4"/>
  <c r="AE31" i="4"/>
  <c r="W31" i="4"/>
  <c r="O31" i="4"/>
  <c r="G31" i="4"/>
  <c r="AM30" i="4"/>
  <c r="AE30" i="4"/>
  <c r="W30" i="4"/>
  <c r="O30" i="4"/>
  <c r="G30" i="4"/>
  <c r="AM29" i="4"/>
  <c r="AE29" i="4"/>
  <c r="W29" i="4"/>
  <c r="O29" i="4"/>
  <c r="G29" i="4"/>
  <c r="AM28" i="4"/>
  <c r="AE28" i="4"/>
  <c r="W28" i="4"/>
  <c r="O28" i="4"/>
  <c r="G28" i="4"/>
  <c r="S13" i="6"/>
  <c r="AI10" i="6"/>
  <c r="K9" i="6"/>
  <c r="AA7" i="6"/>
  <c r="C6" i="6"/>
  <c r="K27" i="5"/>
  <c r="S26" i="5"/>
  <c r="AA25" i="5"/>
  <c r="AI23" i="5"/>
  <c r="C23" i="5"/>
  <c r="K22" i="5"/>
  <c r="S20" i="5"/>
  <c r="AA19" i="5"/>
  <c r="AI18" i="5"/>
  <c r="C18" i="5"/>
  <c r="K17" i="5"/>
  <c r="S16" i="5"/>
  <c r="AA15" i="5"/>
  <c r="AI14" i="5"/>
  <c r="C14" i="5"/>
  <c r="K13" i="5"/>
  <c r="S12" i="5"/>
  <c r="AA11" i="5"/>
  <c r="AI8" i="5"/>
  <c r="C8" i="5"/>
  <c r="K7" i="5"/>
  <c r="AM6" i="5"/>
  <c r="AD6" i="5"/>
  <c r="U6" i="5"/>
  <c r="M6" i="5"/>
  <c r="E6" i="5"/>
  <c r="AK51" i="4"/>
  <c r="AC51" i="4"/>
  <c r="U51" i="4"/>
  <c r="M51" i="4"/>
  <c r="E51" i="4"/>
  <c r="AK50" i="4"/>
  <c r="AC50" i="4"/>
  <c r="U50" i="4"/>
  <c r="M50" i="4"/>
  <c r="E50" i="4"/>
  <c r="AK49" i="4"/>
  <c r="AC49" i="4"/>
  <c r="U49" i="4"/>
  <c r="M49" i="4"/>
  <c r="E49" i="4"/>
  <c r="AK48" i="4"/>
  <c r="AC48" i="4"/>
  <c r="U48" i="4"/>
  <c r="M48" i="4"/>
  <c r="E48" i="4"/>
  <c r="AK47" i="4"/>
  <c r="AC47" i="4"/>
  <c r="U47" i="4"/>
  <c r="M47" i="4"/>
  <c r="E47" i="4"/>
  <c r="AK46" i="4"/>
  <c r="AC46" i="4"/>
  <c r="U46" i="4"/>
  <c r="M46" i="4"/>
  <c r="E46" i="4"/>
  <c r="AK45" i="4"/>
  <c r="AC45" i="4"/>
  <c r="U45" i="4"/>
  <c r="M45" i="4"/>
  <c r="E45" i="4"/>
  <c r="AK44" i="4"/>
  <c r="AC44" i="4"/>
  <c r="U44" i="4"/>
  <c r="M44" i="4"/>
  <c r="E44" i="4"/>
  <c r="AK43" i="4"/>
  <c r="AC43" i="4"/>
  <c r="U43" i="4"/>
  <c r="M43" i="4"/>
  <c r="E43" i="4"/>
  <c r="AK42" i="4"/>
  <c r="AC42" i="4"/>
  <c r="U42" i="4"/>
  <c r="M42" i="4"/>
  <c r="E42" i="4"/>
  <c r="AK39" i="4"/>
  <c r="AC39" i="4"/>
  <c r="U39" i="4"/>
  <c r="M39" i="4"/>
  <c r="E39" i="4"/>
  <c r="AK38" i="4"/>
  <c r="AC38" i="4"/>
  <c r="U38" i="4"/>
  <c r="M38" i="4"/>
  <c r="E38" i="4"/>
  <c r="AK36" i="4"/>
  <c r="AC36" i="4"/>
  <c r="U36" i="4"/>
  <c r="M36" i="4"/>
  <c r="E36" i="4"/>
  <c r="AK33" i="4"/>
  <c r="AC33" i="4"/>
  <c r="U33" i="4"/>
  <c r="M33" i="4"/>
  <c r="E33" i="4"/>
  <c r="AK32" i="4"/>
  <c r="AC32" i="4"/>
  <c r="U32" i="4"/>
  <c r="M32" i="4"/>
  <c r="E32" i="4"/>
  <c r="AK31" i="4"/>
  <c r="AC31" i="4"/>
  <c r="U31" i="4"/>
  <c r="M31" i="4"/>
  <c r="E31" i="4"/>
  <c r="AK30" i="4"/>
  <c r="AC30" i="4"/>
  <c r="U30" i="4"/>
  <c r="M30" i="4"/>
  <c r="E30" i="4"/>
  <c r="AK29" i="4"/>
  <c r="AC29" i="4"/>
  <c r="U29" i="4"/>
  <c r="M29" i="4"/>
  <c r="E29" i="4"/>
  <c r="AK28" i="4"/>
  <c r="AC28" i="4"/>
  <c r="U28" i="4"/>
  <c r="M28" i="4"/>
  <c r="E28" i="4"/>
  <c r="AA13" i="6"/>
  <c r="AP23" i="5"/>
  <c r="Z16" i="5"/>
  <c r="J8" i="5"/>
  <c r="AD51" i="4"/>
  <c r="F50" i="4"/>
  <c r="V48" i="4"/>
  <c r="H47" i="4"/>
  <c r="P46" i="4"/>
  <c r="X45" i="4"/>
  <c r="AF44" i="4"/>
  <c r="AN43" i="4"/>
  <c r="H43" i="4"/>
  <c r="P42" i="4"/>
  <c r="Y39" i="4"/>
  <c r="F39" i="4"/>
  <c r="AA38" i="4"/>
  <c r="K38" i="4"/>
  <c r="AI36" i="4"/>
  <c r="S36" i="4"/>
  <c r="C36" i="4"/>
  <c r="AA33" i="4"/>
  <c r="K33" i="4"/>
  <c r="AI32" i="4"/>
  <c r="S32" i="4"/>
  <c r="C32" i="4"/>
  <c r="AA31" i="4"/>
  <c r="K31" i="4"/>
  <c r="AI30" i="4"/>
  <c r="S30" i="4"/>
  <c r="C30" i="4"/>
  <c r="AA29" i="4"/>
  <c r="K29" i="4"/>
  <c r="AI28" i="4"/>
  <c r="S28" i="4"/>
  <c r="C28" i="4"/>
  <c r="AI25" i="4"/>
  <c r="AA25" i="4"/>
  <c r="S25" i="4"/>
  <c r="K25" i="4"/>
  <c r="C25" i="4"/>
  <c r="AI24" i="4"/>
  <c r="AA24" i="4"/>
  <c r="S24" i="4"/>
  <c r="K24" i="4"/>
  <c r="C24" i="4"/>
  <c r="AI23" i="4"/>
  <c r="AA23" i="4"/>
  <c r="S23" i="4"/>
  <c r="K23" i="4"/>
  <c r="C23" i="4"/>
  <c r="AI22" i="4"/>
  <c r="AA22" i="4"/>
  <c r="S22" i="4"/>
  <c r="K22" i="4"/>
  <c r="C22" i="4"/>
  <c r="AI21" i="4"/>
  <c r="AA21" i="4"/>
  <c r="S21" i="4"/>
  <c r="K21" i="4"/>
  <c r="C21" i="4"/>
  <c r="AI20" i="4"/>
  <c r="AA20" i="4"/>
  <c r="S20" i="4"/>
  <c r="K20" i="4"/>
  <c r="C20" i="4"/>
  <c r="AI19" i="4"/>
  <c r="AA19" i="4"/>
  <c r="S19" i="4"/>
  <c r="K19" i="4"/>
  <c r="C19" i="4"/>
  <c r="AI18" i="4"/>
  <c r="AA18" i="4"/>
  <c r="S18" i="4"/>
  <c r="K18" i="4"/>
  <c r="C18" i="4"/>
  <c r="AI15" i="4"/>
  <c r="AA15" i="4"/>
  <c r="S15" i="4"/>
  <c r="K15" i="4"/>
  <c r="C15" i="4"/>
  <c r="AI14" i="4"/>
  <c r="C12" i="6"/>
  <c r="J23" i="5"/>
  <c r="AH15" i="5"/>
  <c r="R7" i="5"/>
  <c r="V51" i="4"/>
  <c r="AL49" i="4"/>
  <c r="N48" i="4"/>
  <c r="F47" i="4"/>
  <c r="N46" i="4"/>
  <c r="V45" i="4"/>
  <c r="AD44" i="4"/>
  <c r="AL43" i="4"/>
  <c r="F43" i="4"/>
  <c r="N42" i="4"/>
  <c r="X39" i="4"/>
  <c r="AO38" i="4"/>
  <c r="Y38" i="4"/>
  <c r="I38" i="4"/>
  <c r="AG36" i="4"/>
  <c r="Q36" i="4"/>
  <c r="AO33" i="4"/>
  <c r="Y33" i="4"/>
  <c r="S9" i="6"/>
  <c r="R22" i="5"/>
  <c r="AP14" i="5"/>
  <c r="AN6" i="5"/>
  <c r="N51" i="4"/>
  <c r="AD49" i="4"/>
  <c r="F48" i="4"/>
  <c r="AN46" i="4"/>
  <c r="H46" i="4"/>
  <c r="P45" i="4"/>
  <c r="X44" i="4"/>
  <c r="AF43" i="4"/>
  <c r="AN42" i="4"/>
  <c r="H42" i="4"/>
  <c r="V39" i="4"/>
  <c r="AN38" i="4"/>
  <c r="X38" i="4"/>
  <c r="H38" i="4"/>
  <c r="AF36" i="4"/>
  <c r="P36" i="4"/>
  <c r="AN33" i="4"/>
  <c r="X33" i="4"/>
  <c r="H33" i="4"/>
  <c r="AF32" i="4"/>
  <c r="P32" i="4"/>
  <c r="AN31" i="4"/>
  <c r="X31" i="4"/>
  <c r="H31" i="4"/>
  <c r="AF30" i="4"/>
  <c r="P30" i="4"/>
  <c r="AN29" i="4"/>
  <c r="X29" i="4"/>
  <c r="H29" i="4"/>
  <c r="AF28" i="4"/>
  <c r="P28" i="4"/>
  <c r="AO25" i="4"/>
  <c r="AG25" i="4"/>
  <c r="Y25" i="4"/>
  <c r="Q25" i="4"/>
  <c r="I25" i="4"/>
  <c r="AO24" i="4"/>
  <c r="AG24" i="4"/>
  <c r="Y24" i="4"/>
  <c r="Q24" i="4"/>
  <c r="I24" i="4"/>
  <c r="AO23" i="4"/>
  <c r="AG23" i="4"/>
  <c r="Y23" i="4"/>
  <c r="Q23" i="4"/>
  <c r="I23" i="4"/>
  <c r="AO22" i="4"/>
  <c r="AG22" i="4"/>
  <c r="Y22" i="4"/>
  <c r="Q22" i="4"/>
  <c r="I22" i="4"/>
  <c r="AO21" i="4"/>
  <c r="AG21" i="4"/>
  <c r="Y21" i="4"/>
  <c r="Q21" i="4"/>
  <c r="I21" i="4"/>
  <c r="AO20" i="4"/>
  <c r="AG20" i="4"/>
  <c r="Y20" i="4"/>
  <c r="Q20" i="4"/>
  <c r="I20" i="4"/>
  <c r="AO19" i="4"/>
  <c r="AG19" i="4"/>
  <c r="Y19" i="4"/>
  <c r="Q19" i="4"/>
  <c r="I19" i="4"/>
  <c r="AO18" i="4"/>
  <c r="AG18" i="4"/>
  <c r="Y18" i="4"/>
  <c r="Q18" i="4"/>
  <c r="I18" i="4"/>
  <c r="AO15" i="4"/>
  <c r="AG15" i="4"/>
  <c r="Y15" i="4"/>
  <c r="Q15" i="4"/>
  <c r="I15" i="4"/>
  <c r="AO14" i="4"/>
  <c r="AG14" i="4"/>
  <c r="Y14" i="4"/>
  <c r="Q14" i="4"/>
  <c r="I14" i="4"/>
  <c r="AO13" i="4"/>
  <c r="AG13" i="4"/>
  <c r="Y13" i="4"/>
  <c r="Q13" i="4"/>
  <c r="I13" i="4"/>
  <c r="AO12" i="4"/>
  <c r="AG12" i="4"/>
  <c r="Y12" i="4"/>
  <c r="Q12" i="4"/>
  <c r="I12" i="4"/>
  <c r="AO11" i="4"/>
  <c r="AG11" i="4"/>
  <c r="Y11" i="4"/>
  <c r="Q11" i="4"/>
  <c r="I11" i="4"/>
  <c r="AO10" i="4"/>
  <c r="AG10" i="4"/>
  <c r="Y10" i="4"/>
  <c r="Q10" i="4"/>
  <c r="I10" i="4"/>
  <c r="AO9" i="4"/>
  <c r="AG9" i="4"/>
  <c r="Y9" i="4"/>
  <c r="Q9" i="4"/>
  <c r="I9" i="4"/>
  <c r="AO8" i="4"/>
  <c r="AG8" i="4"/>
  <c r="Y8" i="4"/>
  <c r="Q8" i="4"/>
  <c r="I8" i="4"/>
  <c r="AO7" i="4"/>
  <c r="AG7" i="4"/>
  <c r="Y7" i="4"/>
  <c r="Q7" i="4"/>
  <c r="I7" i="4"/>
  <c r="AO65" i="3"/>
  <c r="AG65" i="3"/>
  <c r="Y65" i="3"/>
  <c r="Q65" i="3"/>
  <c r="AI7" i="6"/>
  <c r="Z20" i="5"/>
  <c r="J14" i="5"/>
  <c r="AE6" i="5"/>
  <c r="F51" i="4"/>
  <c r="V49" i="4"/>
  <c r="AL47" i="4"/>
  <c r="AL46" i="4"/>
  <c r="F46" i="4"/>
  <c r="N45" i="4"/>
  <c r="V44" i="4"/>
  <c r="AD43" i="4"/>
  <c r="AL42" i="4"/>
  <c r="F42" i="4"/>
  <c r="Q39" i="4"/>
  <c r="AL38" i="4"/>
  <c r="V38" i="4"/>
  <c r="F38" i="4"/>
  <c r="AD36" i="4"/>
  <c r="N36" i="4"/>
  <c r="AL33" i="4"/>
  <c r="V33" i="4"/>
  <c r="F33" i="4"/>
  <c r="AD32" i="4"/>
  <c r="N32" i="4"/>
  <c r="AL31" i="4"/>
  <c r="V31" i="4"/>
  <c r="F31" i="4"/>
  <c r="AD30" i="4"/>
  <c r="N30" i="4"/>
  <c r="AL29" i="4"/>
  <c r="V29" i="4"/>
  <c r="F29" i="4"/>
  <c r="AD28" i="4"/>
  <c r="N28" i="4"/>
  <c r="AN25" i="4"/>
  <c r="AF25" i="4"/>
  <c r="X25" i="4"/>
  <c r="P25" i="4"/>
  <c r="H25" i="4"/>
  <c r="AN24" i="4"/>
  <c r="AF24" i="4"/>
  <c r="X24" i="4"/>
  <c r="P24" i="4"/>
  <c r="H24" i="4"/>
  <c r="AN23" i="4"/>
  <c r="AF23" i="4"/>
  <c r="X23" i="4"/>
  <c r="P23" i="4"/>
  <c r="H23" i="4"/>
  <c r="AN22" i="4"/>
  <c r="AF22" i="4"/>
  <c r="X22" i="4"/>
  <c r="P22" i="4"/>
  <c r="H22" i="4"/>
  <c r="AN21" i="4"/>
  <c r="AF21" i="4"/>
  <c r="X21" i="4"/>
  <c r="P21" i="4"/>
  <c r="H21" i="4"/>
  <c r="AN20" i="4"/>
  <c r="AF20" i="4"/>
  <c r="X20" i="4"/>
  <c r="P20" i="4"/>
  <c r="H20" i="4"/>
  <c r="AN19" i="4"/>
  <c r="AF19" i="4"/>
  <c r="X19" i="4"/>
  <c r="P19" i="4"/>
  <c r="H19" i="4"/>
  <c r="AN18" i="4"/>
  <c r="AF18" i="4"/>
  <c r="X18" i="4"/>
  <c r="P18" i="4"/>
  <c r="H18" i="4"/>
  <c r="AN15" i="4"/>
  <c r="AF15" i="4"/>
  <c r="X15" i="4"/>
  <c r="P15" i="4"/>
  <c r="H15" i="4"/>
  <c r="AN14" i="4"/>
  <c r="AF14" i="4"/>
  <c r="X14" i="4"/>
  <c r="P14" i="4"/>
  <c r="H14" i="4"/>
  <c r="AN13" i="4"/>
  <c r="AF13" i="4"/>
  <c r="X13" i="4"/>
  <c r="P13" i="4"/>
  <c r="H13" i="4"/>
  <c r="AN12" i="4"/>
  <c r="AF12" i="4"/>
  <c r="X12" i="4"/>
  <c r="P12" i="4"/>
  <c r="H12" i="4"/>
  <c r="AN11" i="4"/>
  <c r="AF11" i="4"/>
  <c r="X11" i="4"/>
  <c r="P11" i="4"/>
  <c r="H11" i="4"/>
  <c r="AN10" i="4"/>
  <c r="AF10" i="4"/>
  <c r="X10" i="4"/>
  <c r="P10" i="4"/>
  <c r="H10" i="4"/>
  <c r="AN9" i="4"/>
  <c r="AF9" i="4"/>
  <c r="X9" i="4"/>
  <c r="P9" i="4"/>
  <c r="H9" i="4"/>
  <c r="AN8" i="4"/>
  <c r="AF8" i="4"/>
  <c r="X8" i="4"/>
  <c r="P8" i="4"/>
  <c r="H8" i="4"/>
  <c r="AN7" i="4"/>
  <c r="AF7" i="4"/>
  <c r="X7" i="4"/>
  <c r="P7" i="4"/>
  <c r="H7" i="4"/>
  <c r="AN65" i="3"/>
  <c r="AF65" i="3"/>
  <c r="X65" i="3"/>
  <c r="P65" i="3"/>
  <c r="H65" i="3"/>
  <c r="AN64" i="3"/>
  <c r="AF64" i="3"/>
  <c r="K6" i="6"/>
  <c r="AH19" i="5"/>
  <c r="R13" i="5"/>
  <c r="V6" i="5"/>
  <c r="AL50" i="4"/>
  <c r="N49" i="4"/>
  <c r="AD47" i="4"/>
  <c r="AF46" i="4"/>
  <c r="AN45" i="4"/>
  <c r="H45" i="4"/>
  <c r="P44" i="4"/>
  <c r="X43" i="4"/>
  <c r="AF42" i="4"/>
  <c r="AN39" i="4"/>
  <c r="P39" i="4"/>
  <c r="AI38" i="4"/>
  <c r="S38" i="4"/>
  <c r="C38" i="4"/>
  <c r="AA36" i="4"/>
  <c r="K36" i="4"/>
  <c r="AI33" i="4"/>
  <c r="S33" i="4"/>
  <c r="C33" i="4"/>
  <c r="AA32" i="4"/>
  <c r="K32" i="4"/>
  <c r="AI31" i="4"/>
  <c r="S31" i="4"/>
  <c r="C31" i="4"/>
  <c r="AA30" i="4"/>
  <c r="K30" i="4"/>
  <c r="AI29" i="4"/>
  <c r="S29" i="4"/>
  <c r="C29" i="4"/>
  <c r="AA28" i="4"/>
  <c r="K28" i="4"/>
  <c r="AM25" i="4"/>
  <c r="AE25" i="4"/>
  <c r="W25" i="4"/>
  <c r="O25" i="4"/>
  <c r="G25" i="4"/>
  <c r="AM24" i="4"/>
  <c r="AE24" i="4"/>
  <c r="W24" i="4"/>
  <c r="O24" i="4"/>
  <c r="G24" i="4"/>
  <c r="AM23" i="4"/>
  <c r="AE23" i="4"/>
  <c r="W23" i="4"/>
  <c r="O23" i="4"/>
  <c r="G23" i="4"/>
  <c r="AM22" i="4"/>
  <c r="AE22" i="4"/>
  <c r="W22" i="4"/>
  <c r="O22" i="4"/>
  <c r="G22" i="4"/>
  <c r="AM21" i="4"/>
  <c r="AE21" i="4"/>
  <c r="W21" i="4"/>
  <c r="O21" i="4"/>
  <c r="G21" i="4"/>
  <c r="AM20" i="4"/>
  <c r="AE20" i="4"/>
  <c r="W20" i="4"/>
  <c r="O20" i="4"/>
  <c r="G20" i="4"/>
  <c r="AM19" i="4"/>
  <c r="AE19" i="4"/>
  <c r="W19" i="4"/>
  <c r="O19" i="4"/>
  <c r="G19" i="4"/>
  <c r="AM18" i="4"/>
  <c r="AE18" i="4"/>
  <c r="W18" i="4"/>
  <c r="O18" i="4"/>
  <c r="G18" i="4"/>
  <c r="AM15" i="4"/>
  <c r="AE15" i="4"/>
  <c r="W15" i="4"/>
  <c r="O15" i="4"/>
  <c r="G15" i="4"/>
  <c r="AM14" i="4"/>
  <c r="AE14" i="4"/>
  <c r="R27" i="5"/>
  <c r="AP18" i="5"/>
  <c r="Z12" i="5"/>
  <c r="N6" i="5"/>
  <c r="AD50" i="4"/>
  <c r="F49" i="4"/>
  <c r="V47" i="4"/>
  <c r="AD46" i="4"/>
  <c r="AL45" i="4"/>
  <c r="F45" i="4"/>
  <c r="N44" i="4"/>
  <c r="V43" i="4"/>
  <c r="AD42" i="4"/>
  <c r="AL39" i="4"/>
  <c r="N39" i="4"/>
  <c r="AG38" i="4"/>
  <c r="Q38" i="4"/>
  <c r="AO36" i="4"/>
  <c r="Y36" i="4"/>
  <c r="I36" i="4"/>
  <c r="AG33" i="4"/>
  <c r="Q33" i="4"/>
  <c r="AO32" i="4"/>
  <c r="Y32" i="4"/>
  <c r="I32" i="4"/>
  <c r="AG31" i="4"/>
  <c r="Q31" i="4"/>
  <c r="AO30" i="4"/>
  <c r="Y30" i="4"/>
  <c r="I30" i="4"/>
  <c r="AG29" i="4"/>
  <c r="Q29" i="4"/>
  <c r="AO28" i="4"/>
  <c r="Y28" i="4"/>
  <c r="I28" i="4"/>
  <c r="AL25" i="4"/>
  <c r="AD25" i="4"/>
  <c r="V25" i="4"/>
  <c r="N25" i="4"/>
  <c r="F25" i="4"/>
  <c r="AL24" i="4"/>
  <c r="AD24" i="4"/>
  <c r="V24" i="4"/>
  <c r="N24" i="4"/>
  <c r="F24" i="4"/>
  <c r="AL23" i="4"/>
  <c r="AD23" i="4"/>
  <c r="V23" i="4"/>
  <c r="N23" i="4"/>
  <c r="F23" i="4"/>
  <c r="AL22" i="4"/>
  <c r="AD22" i="4"/>
  <c r="V22" i="4"/>
  <c r="N22" i="4"/>
  <c r="F22" i="4"/>
  <c r="AL21" i="4"/>
  <c r="AD21" i="4"/>
  <c r="V21" i="4"/>
  <c r="N21" i="4"/>
  <c r="F21" i="4"/>
  <c r="AL20" i="4"/>
  <c r="AD20" i="4"/>
  <c r="V20" i="4"/>
  <c r="N20" i="4"/>
  <c r="F20" i="4"/>
  <c r="AL19" i="4"/>
  <c r="AD19" i="4"/>
  <c r="V19" i="4"/>
  <c r="N19" i="4"/>
  <c r="F19" i="4"/>
  <c r="AL18" i="4"/>
  <c r="AD18" i="4"/>
  <c r="V18" i="4"/>
  <c r="N18" i="4"/>
  <c r="F18" i="4"/>
  <c r="AL15" i="4"/>
  <c r="AD15" i="4"/>
  <c r="V15" i="4"/>
  <c r="N15" i="4"/>
  <c r="F15" i="4"/>
  <c r="AL14" i="4"/>
  <c r="AD14" i="4"/>
  <c r="V14" i="4"/>
  <c r="AH25" i="5"/>
  <c r="R17" i="5"/>
  <c r="AP8" i="5"/>
  <c r="AL51" i="4"/>
  <c r="N50" i="4"/>
  <c r="AD48" i="4"/>
  <c r="N47" i="4"/>
  <c r="V46" i="4"/>
  <c r="AD45" i="4"/>
  <c r="AL44" i="4"/>
  <c r="F44" i="4"/>
  <c r="N43" i="4"/>
  <c r="V42" i="4"/>
  <c r="AD39" i="4"/>
  <c r="H39" i="4"/>
  <c r="AD38" i="4"/>
  <c r="N38" i="4"/>
  <c r="AL36" i="4"/>
  <c r="V36" i="4"/>
  <c r="F36" i="4"/>
  <c r="AD33" i="4"/>
  <c r="N33" i="4"/>
  <c r="AL32" i="4"/>
  <c r="V32" i="4"/>
  <c r="F32" i="4"/>
  <c r="AD31" i="4"/>
  <c r="N31" i="4"/>
  <c r="AL30" i="4"/>
  <c r="V30" i="4"/>
  <c r="F30" i="4"/>
  <c r="AD29" i="4"/>
  <c r="N29" i="4"/>
  <c r="AL28" i="4"/>
  <c r="V28" i="4"/>
  <c r="F28" i="4"/>
  <c r="AJ25" i="4"/>
  <c r="AB25" i="4"/>
  <c r="T25" i="4"/>
  <c r="L25" i="4"/>
  <c r="D25" i="4"/>
  <c r="AJ24" i="4"/>
  <c r="AB24" i="4"/>
  <c r="T24" i="4"/>
  <c r="L24" i="4"/>
  <c r="D24" i="4"/>
  <c r="AJ23" i="4"/>
  <c r="AB23" i="4"/>
  <c r="T23" i="4"/>
  <c r="L23" i="4"/>
  <c r="D23" i="4"/>
  <c r="AJ22" i="4"/>
  <c r="AB22" i="4"/>
  <c r="T22" i="4"/>
  <c r="L22" i="4"/>
  <c r="D22" i="4"/>
  <c r="AJ21" i="4"/>
  <c r="AB21" i="4"/>
  <c r="T21" i="4"/>
  <c r="L21" i="4"/>
  <c r="D21" i="4"/>
  <c r="AJ20" i="4"/>
  <c r="AB20" i="4"/>
  <c r="T20" i="4"/>
  <c r="L20" i="4"/>
  <c r="D20" i="4"/>
  <c r="AJ19" i="4"/>
  <c r="AB19" i="4"/>
  <c r="T19" i="4"/>
  <c r="L19" i="4"/>
  <c r="D19" i="4"/>
  <c r="AJ18" i="4"/>
  <c r="AB18" i="4"/>
  <c r="T18" i="4"/>
  <c r="L18" i="4"/>
  <c r="D18" i="4"/>
  <c r="AJ15" i="4"/>
  <c r="AB15" i="4"/>
  <c r="T15" i="4"/>
  <c r="L15" i="4"/>
  <c r="D15" i="4"/>
  <c r="AJ14" i="4"/>
  <c r="AB14" i="4"/>
  <c r="T14" i="4"/>
  <c r="L14" i="4"/>
  <c r="D14" i="4"/>
  <c r="AJ13" i="4"/>
  <c r="AB13" i="4"/>
  <c r="T13" i="4"/>
  <c r="L13" i="4"/>
  <c r="D13" i="4"/>
  <c r="AJ12" i="4"/>
  <c r="AB12" i="4"/>
  <c r="T12" i="4"/>
  <c r="L12" i="4"/>
  <c r="D12" i="4"/>
  <c r="AJ11" i="4"/>
  <c r="AB11" i="4"/>
  <c r="T11" i="4"/>
  <c r="L11" i="4"/>
  <c r="D11" i="4"/>
  <c r="AJ10" i="4"/>
  <c r="AB10" i="4"/>
  <c r="T10" i="4"/>
  <c r="L10" i="4"/>
  <c r="D10" i="4"/>
  <c r="AJ9" i="4"/>
  <c r="AB9" i="4"/>
  <c r="T9" i="4"/>
  <c r="L9" i="4"/>
  <c r="D9" i="4"/>
  <c r="AJ8" i="4"/>
  <c r="AB8" i="4"/>
  <c r="T8" i="4"/>
  <c r="L8" i="4"/>
  <c r="D8" i="4"/>
  <c r="AJ7" i="4"/>
  <c r="AB7" i="4"/>
  <c r="T7" i="4"/>
  <c r="L7" i="4"/>
  <c r="D7" i="4"/>
  <c r="AJ65" i="3"/>
  <c r="AB65" i="3"/>
  <c r="T65" i="3"/>
  <c r="L65" i="3"/>
  <c r="D65" i="3"/>
  <c r="Z26" i="5"/>
  <c r="AF45" i="4"/>
  <c r="P38" i="4"/>
  <c r="AG32" i="4"/>
  <c r="I31" i="4"/>
  <c r="Y29" i="4"/>
  <c r="AP25" i="4"/>
  <c r="J25" i="4"/>
  <c r="R24" i="4"/>
  <c r="Z23" i="4"/>
  <c r="AH22" i="4"/>
  <c r="AP21" i="4"/>
  <c r="J21" i="4"/>
  <c r="R20" i="4"/>
  <c r="Z19" i="4"/>
  <c r="AH18" i="4"/>
  <c r="AP15" i="4"/>
  <c r="J15" i="4"/>
  <c r="W14" i="4"/>
  <c r="J14" i="4"/>
  <c r="AK13" i="4"/>
  <c r="W13" i="4"/>
  <c r="K13" i="4"/>
  <c r="AL12" i="4"/>
  <c r="Z12" i="4"/>
  <c r="M12" i="4"/>
  <c r="AM11" i="4"/>
  <c r="AA11" i="4"/>
  <c r="N11" i="4"/>
  <c r="AP10" i="4"/>
  <c r="AC10" i="4"/>
  <c r="O10" i="4"/>
  <c r="C10" i="4"/>
  <c r="AD9" i="4"/>
  <c r="R9" i="4"/>
  <c r="E9" i="4"/>
  <c r="AE8" i="4"/>
  <c r="S8" i="4"/>
  <c r="F8" i="4"/>
  <c r="AH7" i="4"/>
  <c r="U7" i="4"/>
  <c r="G7" i="4"/>
  <c r="AI65" i="3"/>
  <c r="V65" i="3"/>
  <c r="J65" i="3"/>
  <c r="AM64" i="3"/>
  <c r="AD64" i="3"/>
  <c r="V64" i="3"/>
  <c r="N64" i="3"/>
  <c r="F64" i="3"/>
  <c r="AL63" i="3"/>
  <c r="AD63" i="3"/>
  <c r="V63" i="3"/>
  <c r="N63" i="3"/>
  <c r="F63" i="3"/>
  <c r="AL62" i="3"/>
  <c r="AD62" i="3"/>
  <c r="V62" i="3"/>
  <c r="N62" i="3"/>
  <c r="F62" i="3"/>
  <c r="AL61" i="3"/>
  <c r="AD61" i="3"/>
  <c r="V61" i="3"/>
  <c r="N61" i="3"/>
  <c r="F61" i="3"/>
  <c r="AL60" i="3"/>
  <c r="AD60" i="3"/>
  <c r="V60" i="3"/>
  <c r="N60" i="3"/>
  <c r="F60" i="3"/>
  <c r="AL59" i="3"/>
  <c r="AD59" i="3"/>
  <c r="V59" i="3"/>
  <c r="N59" i="3"/>
  <c r="F59" i="3"/>
  <c r="AL58" i="3"/>
  <c r="AD58" i="3"/>
  <c r="V58" i="3"/>
  <c r="N58" i="3"/>
  <c r="F58" i="3"/>
  <c r="AL57" i="3"/>
  <c r="AD57" i="3"/>
  <c r="V57" i="3"/>
  <c r="N57" i="3"/>
  <c r="F57" i="3"/>
  <c r="AL56" i="3"/>
  <c r="AD56" i="3"/>
  <c r="V56" i="3"/>
  <c r="N56" i="3"/>
  <c r="F56" i="3"/>
  <c r="AL55" i="3"/>
  <c r="AD55" i="3"/>
  <c r="V55" i="3"/>
  <c r="N55" i="3"/>
  <c r="F55" i="3"/>
  <c r="AL54" i="3"/>
  <c r="AD54" i="3"/>
  <c r="V54" i="3"/>
  <c r="N54" i="3"/>
  <c r="F54" i="3"/>
  <c r="AL53" i="3"/>
  <c r="AD53" i="3"/>
  <c r="V53" i="3"/>
  <c r="N53" i="3"/>
  <c r="F53" i="3"/>
  <c r="AL49" i="3"/>
  <c r="AD49" i="3"/>
  <c r="V49" i="3"/>
  <c r="N49" i="3"/>
  <c r="F49" i="3"/>
  <c r="AL48" i="3"/>
  <c r="AD48" i="3"/>
  <c r="V48" i="3"/>
  <c r="N48" i="3"/>
  <c r="F48" i="3"/>
  <c r="J18" i="5"/>
  <c r="AN44" i="4"/>
  <c r="AN36" i="4"/>
  <c r="X32" i="4"/>
  <c r="AN30" i="4"/>
  <c r="P29" i="4"/>
  <c r="AK25" i="4"/>
  <c r="E25" i="4"/>
  <c r="M24" i="4"/>
  <c r="U23" i="4"/>
  <c r="AC22" i="4"/>
  <c r="AK21" i="4"/>
  <c r="E21" i="4"/>
  <c r="M20" i="4"/>
  <c r="U19" i="4"/>
  <c r="AC18" i="4"/>
  <c r="AK15" i="4"/>
  <c r="E15" i="4"/>
  <c r="U14" i="4"/>
  <c r="G14" i="4"/>
  <c r="AI13" i="4"/>
  <c r="V13" i="4"/>
  <c r="J13" i="4"/>
  <c r="AK12" i="4"/>
  <c r="W12" i="4"/>
  <c r="K12" i="4"/>
  <c r="AL11" i="4"/>
  <c r="Z11" i="4"/>
  <c r="M11" i="4"/>
  <c r="AM10" i="4"/>
  <c r="AA10" i="4"/>
  <c r="N10" i="4"/>
  <c r="AP9" i="4"/>
  <c r="AC9" i="4"/>
  <c r="O9" i="4"/>
  <c r="C9" i="4"/>
  <c r="AD8" i="4"/>
  <c r="R8" i="4"/>
  <c r="E8" i="4"/>
  <c r="AE7" i="4"/>
  <c r="S7" i="4"/>
  <c r="F7" i="4"/>
  <c r="AH65" i="3"/>
  <c r="U65" i="3"/>
  <c r="I65" i="3"/>
  <c r="AL64" i="3"/>
  <c r="AC64" i="3"/>
  <c r="U64" i="3"/>
  <c r="M64" i="3"/>
  <c r="E64" i="3"/>
  <c r="AK63" i="3"/>
  <c r="AC63" i="3"/>
  <c r="U63" i="3"/>
  <c r="M63" i="3"/>
  <c r="E63" i="3"/>
  <c r="AK62" i="3"/>
  <c r="AC62" i="3"/>
  <c r="U62" i="3"/>
  <c r="M62" i="3"/>
  <c r="E62" i="3"/>
  <c r="AK61" i="3"/>
  <c r="AC61" i="3"/>
  <c r="U61" i="3"/>
  <c r="M61" i="3"/>
  <c r="E61" i="3"/>
  <c r="AK60" i="3"/>
  <c r="AC60" i="3"/>
  <c r="U60" i="3"/>
  <c r="M60" i="3"/>
  <c r="E60" i="3"/>
  <c r="AK59" i="3"/>
  <c r="AC59" i="3"/>
  <c r="U59" i="3"/>
  <c r="M59" i="3"/>
  <c r="E59" i="3"/>
  <c r="AK58" i="3"/>
  <c r="AC58" i="3"/>
  <c r="U58" i="3"/>
  <c r="M58" i="3"/>
  <c r="E58" i="3"/>
  <c r="AK57" i="3"/>
  <c r="AC57" i="3"/>
  <c r="U57" i="3"/>
  <c r="M57" i="3"/>
  <c r="E57" i="3"/>
  <c r="AK56" i="3"/>
  <c r="AC56" i="3"/>
  <c r="U56" i="3"/>
  <c r="M56" i="3"/>
  <c r="E56" i="3"/>
  <c r="AK55" i="3"/>
  <c r="AC55" i="3"/>
  <c r="U55" i="3"/>
  <c r="M55" i="3"/>
  <c r="E55" i="3"/>
  <c r="AK54" i="3"/>
  <c r="AC54" i="3"/>
  <c r="U54" i="3"/>
  <c r="M54" i="3"/>
  <c r="E54" i="3"/>
  <c r="AK53" i="3"/>
  <c r="AC53" i="3"/>
  <c r="U53" i="3"/>
  <c r="M53" i="3"/>
  <c r="E53" i="3"/>
  <c r="AK49" i="3"/>
  <c r="AC49" i="3"/>
  <c r="U49" i="3"/>
  <c r="M49" i="3"/>
  <c r="E49" i="3"/>
  <c r="AK48" i="3"/>
  <c r="AC48" i="3"/>
  <c r="U48" i="3"/>
  <c r="M48" i="3"/>
  <c r="E48" i="3"/>
  <c r="AK47" i="3"/>
  <c r="AC47" i="3"/>
  <c r="U47" i="3"/>
  <c r="M47" i="3"/>
  <c r="E47" i="3"/>
  <c r="AK46" i="3"/>
  <c r="AC46" i="3"/>
  <c r="U46" i="3"/>
  <c r="M46" i="3"/>
  <c r="E46" i="3"/>
  <c r="AK45" i="3"/>
  <c r="AC45" i="3"/>
  <c r="AH11" i="5"/>
  <c r="H44" i="4"/>
  <c r="X36" i="4"/>
  <c r="Q32" i="4"/>
  <c r="AG30" i="4"/>
  <c r="I29" i="4"/>
  <c r="AH25" i="4"/>
  <c r="AP24" i="4"/>
  <c r="J24" i="4"/>
  <c r="R23" i="4"/>
  <c r="Z22" i="4"/>
  <c r="AH21" i="4"/>
  <c r="AP20" i="4"/>
  <c r="J20" i="4"/>
  <c r="R19" i="4"/>
  <c r="Z18" i="4"/>
  <c r="AH15" i="4"/>
  <c r="AP14" i="4"/>
  <c r="S14" i="4"/>
  <c r="F14" i="4"/>
  <c r="AH13" i="4"/>
  <c r="U13" i="4"/>
  <c r="G13" i="4"/>
  <c r="AI12" i="4"/>
  <c r="V12" i="4"/>
  <c r="J12" i="4"/>
  <c r="AK11" i="4"/>
  <c r="W11" i="4"/>
  <c r="K11" i="4"/>
  <c r="AL10" i="4"/>
  <c r="Z10" i="4"/>
  <c r="M10" i="4"/>
  <c r="AM9" i="4"/>
  <c r="AA9" i="4"/>
  <c r="N9" i="4"/>
  <c r="AP8" i="4"/>
  <c r="AC8" i="4"/>
  <c r="O8" i="4"/>
  <c r="C8" i="4"/>
  <c r="AD7" i="4"/>
  <c r="R7" i="4"/>
  <c r="E7" i="4"/>
  <c r="AE65" i="3"/>
  <c r="S65" i="3"/>
  <c r="G65" i="3"/>
  <c r="AK64" i="3"/>
  <c r="AB64" i="3"/>
  <c r="T64" i="3"/>
  <c r="L64" i="3"/>
  <c r="D64" i="3"/>
  <c r="AJ63" i="3"/>
  <c r="AB63" i="3"/>
  <c r="T63" i="3"/>
  <c r="L63" i="3"/>
  <c r="D63" i="3"/>
  <c r="AJ62" i="3"/>
  <c r="AB62" i="3"/>
  <c r="T62" i="3"/>
  <c r="L62" i="3"/>
  <c r="D62" i="3"/>
  <c r="AJ61" i="3"/>
  <c r="AB61" i="3"/>
  <c r="T61" i="3"/>
  <c r="L61" i="3"/>
  <c r="D61" i="3"/>
  <c r="AJ60" i="3"/>
  <c r="AB60" i="3"/>
  <c r="T60" i="3"/>
  <c r="L60" i="3"/>
  <c r="D60" i="3"/>
  <c r="AJ59" i="3"/>
  <c r="AB59" i="3"/>
  <c r="T59" i="3"/>
  <c r="L59" i="3"/>
  <c r="D59" i="3"/>
  <c r="AJ58" i="3"/>
  <c r="AB58" i="3"/>
  <c r="T58" i="3"/>
  <c r="L58" i="3"/>
  <c r="D58" i="3"/>
  <c r="AJ57" i="3"/>
  <c r="AB57" i="3"/>
  <c r="T57" i="3"/>
  <c r="L57" i="3"/>
  <c r="D57" i="3"/>
  <c r="AJ56" i="3"/>
  <c r="AB56" i="3"/>
  <c r="T56" i="3"/>
  <c r="L56" i="3"/>
  <c r="D56" i="3"/>
  <c r="AJ55" i="3"/>
  <c r="AB55" i="3"/>
  <c r="T55" i="3"/>
  <c r="L55" i="3"/>
  <c r="D55" i="3"/>
  <c r="AJ54" i="3"/>
  <c r="AB54" i="3"/>
  <c r="T54" i="3"/>
  <c r="L54" i="3"/>
  <c r="D54" i="3"/>
  <c r="AJ53" i="3"/>
  <c r="AB53" i="3"/>
  <c r="T53" i="3"/>
  <c r="L53" i="3"/>
  <c r="D53" i="3"/>
  <c r="AJ49" i="3"/>
  <c r="AB49" i="3"/>
  <c r="T49" i="3"/>
  <c r="L49" i="3"/>
  <c r="D49" i="3"/>
  <c r="AJ48" i="3"/>
  <c r="AB48" i="3"/>
  <c r="T48" i="3"/>
  <c r="L48" i="3"/>
  <c r="F6" i="5"/>
  <c r="P43" i="4"/>
  <c r="H36" i="4"/>
  <c r="H32" i="4"/>
  <c r="X30" i="4"/>
  <c r="AN28" i="4"/>
  <c r="AC25" i="4"/>
  <c r="AK24" i="4"/>
  <c r="E24" i="4"/>
  <c r="M23" i="4"/>
  <c r="U22" i="4"/>
  <c r="AC21" i="4"/>
  <c r="AK20" i="4"/>
  <c r="E20" i="4"/>
  <c r="M19" i="4"/>
  <c r="U18" i="4"/>
  <c r="AC15" i="4"/>
  <c r="AK14" i="4"/>
  <c r="R14" i="4"/>
  <c r="E14" i="4"/>
  <c r="AE13" i="4"/>
  <c r="S13" i="4"/>
  <c r="F13" i="4"/>
  <c r="AH12" i="4"/>
  <c r="U12" i="4"/>
  <c r="G12" i="4"/>
  <c r="AI11" i="4"/>
  <c r="V11" i="4"/>
  <c r="J11" i="4"/>
  <c r="AK10" i="4"/>
  <c r="W10" i="4"/>
  <c r="K10" i="4"/>
  <c r="AL9" i="4"/>
  <c r="Z9" i="4"/>
  <c r="M9" i="4"/>
  <c r="AM8" i="4"/>
  <c r="AA8" i="4"/>
  <c r="N8" i="4"/>
  <c r="AP7" i="4"/>
  <c r="AC7" i="4"/>
  <c r="O7" i="4"/>
  <c r="C7" i="4"/>
  <c r="AD65" i="3"/>
  <c r="R65" i="3"/>
  <c r="F65" i="3"/>
  <c r="AJ64" i="3"/>
  <c r="AA64" i="3"/>
  <c r="S64" i="3"/>
  <c r="K64" i="3"/>
  <c r="C64" i="3"/>
  <c r="AI63" i="3"/>
  <c r="AA63" i="3"/>
  <c r="S63" i="3"/>
  <c r="K63" i="3"/>
  <c r="C63" i="3"/>
  <c r="AI62" i="3"/>
  <c r="AA62" i="3"/>
  <c r="S62" i="3"/>
  <c r="K62" i="3"/>
  <c r="C62" i="3"/>
  <c r="AI61" i="3"/>
  <c r="AA61" i="3"/>
  <c r="S61" i="3"/>
  <c r="K61" i="3"/>
  <c r="C61" i="3"/>
  <c r="AI60" i="3"/>
  <c r="AA60" i="3"/>
  <c r="S60" i="3"/>
  <c r="K60" i="3"/>
  <c r="C60" i="3"/>
  <c r="AI59" i="3"/>
  <c r="AA59" i="3"/>
  <c r="S59" i="3"/>
  <c r="K59" i="3"/>
  <c r="C59" i="3"/>
  <c r="AI58" i="3"/>
  <c r="AA58" i="3"/>
  <c r="S58" i="3"/>
  <c r="K58" i="3"/>
  <c r="C58" i="3"/>
  <c r="AI57" i="3"/>
  <c r="AA57" i="3"/>
  <c r="S57" i="3"/>
  <c r="K57" i="3"/>
  <c r="C57" i="3"/>
  <c r="AI56" i="3"/>
  <c r="AA56" i="3"/>
  <c r="S56" i="3"/>
  <c r="K56" i="3"/>
  <c r="C56" i="3"/>
  <c r="AI55" i="3"/>
  <c r="AA55" i="3"/>
  <c r="S55" i="3"/>
  <c r="K55" i="3"/>
  <c r="C55" i="3"/>
  <c r="AI54" i="3"/>
  <c r="AA54" i="3"/>
  <c r="S54" i="3"/>
  <c r="K54" i="3"/>
  <c r="C54" i="3"/>
  <c r="AI53" i="3"/>
  <c r="AA53" i="3"/>
  <c r="S53" i="3"/>
  <c r="K53" i="3"/>
  <c r="C53" i="3"/>
  <c r="AI49" i="3"/>
  <c r="AA49" i="3"/>
  <c r="S49" i="3"/>
  <c r="K49" i="3"/>
  <c r="C49" i="3"/>
  <c r="AI48" i="3"/>
  <c r="AA48" i="3"/>
  <c r="S48" i="3"/>
  <c r="K48" i="3"/>
  <c r="C48" i="3"/>
  <c r="AI47" i="3"/>
  <c r="AA47" i="3"/>
  <c r="S47" i="3"/>
  <c r="K47" i="3"/>
  <c r="C47" i="3"/>
  <c r="AI46" i="3"/>
  <c r="AA46" i="3"/>
  <c r="S46" i="3"/>
  <c r="K46" i="3"/>
  <c r="C46" i="3"/>
  <c r="AI45" i="3"/>
  <c r="V50" i="4"/>
  <c r="X42" i="4"/>
  <c r="AF33" i="4"/>
  <c r="AO31" i="4"/>
  <c r="Q30" i="4"/>
  <c r="AG28" i="4"/>
  <c r="Z25" i="4"/>
  <c r="AH24" i="4"/>
  <c r="AP23" i="4"/>
  <c r="J23" i="4"/>
  <c r="R22" i="4"/>
  <c r="Z21" i="4"/>
  <c r="AH20" i="4"/>
  <c r="AP19" i="4"/>
  <c r="J19" i="4"/>
  <c r="R18" i="4"/>
  <c r="Z15" i="4"/>
  <c r="AH14" i="4"/>
  <c r="O14" i="4"/>
  <c r="C14" i="4"/>
  <c r="AD13" i="4"/>
  <c r="R13" i="4"/>
  <c r="E13" i="4"/>
  <c r="AE12" i="4"/>
  <c r="S12" i="4"/>
  <c r="F12" i="4"/>
  <c r="AH11" i="4"/>
  <c r="U11" i="4"/>
  <c r="G11" i="4"/>
  <c r="AI10" i="4"/>
  <c r="V10" i="4"/>
  <c r="J10" i="4"/>
  <c r="AK9" i="4"/>
  <c r="W9" i="4"/>
  <c r="K9" i="4"/>
  <c r="AL8" i="4"/>
  <c r="Z8" i="4"/>
  <c r="M8" i="4"/>
  <c r="AM7" i="4"/>
  <c r="AA7" i="4"/>
  <c r="N7" i="4"/>
  <c r="AP65" i="3"/>
  <c r="AC65" i="3"/>
  <c r="O65" i="3"/>
  <c r="E65" i="3"/>
  <c r="AI64" i="3"/>
  <c r="Z64" i="3"/>
  <c r="R64" i="3"/>
  <c r="J64" i="3"/>
  <c r="AP63" i="3"/>
  <c r="AH63" i="3"/>
  <c r="Z63" i="3"/>
  <c r="R63" i="3"/>
  <c r="J63" i="3"/>
  <c r="AP62" i="3"/>
  <c r="AH62" i="3"/>
  <c r="Z62" i="3"/>
  <c r="R62" i="3"/>
  <c r="J62" i="3"/>
  <c r="AP61" i="3"/>
  <c r="AH61" i="3"/>
  <c r="Z61" i="3"/>
  <c r="R61" i="3"/>
  <c r="J61" i="3"/>
  <c r="AP60" i="3"/>
  <c r="AH60" i="3"/>
  <c r="Z60" i="3"/>
  <c r="R60" i="3"/>
  <c r="J60" i="3"/>
  <c r="AP59" i="3"/>
  <c r="AH59" i="3"/>
  <c r="Z59" i="3"/>
  <c r="R59" i="3"/>
  <c r="J59" i="3"/>
  <c r="AP58" i="3"/>
  <c r="AH58" i="3"/>
  <c r="Z58" i="3"/>
  <c r="R58" i="3"/>
  <c r="J58" i="3"/>
  <c r="AP57" i="3"/>
  <c r="AH57" i="3"/>
  <c r="Z57" i="3"/>
  <c r="R57" i="3"/>
  <c r="J57" i="3"/>
  <c r="AP56" i="3"/>
  <c r="AH56" i="3"/>
  <c r="Z56" i="3"/>
  <c r="R56" i="3"/>
  <c r="J56" i="3"/>
  <c r="AP55" i="3"/>
  <c r="AH55" i="3"/>
  <c r="Z55" i="3"/>
  <c r="R55" i="3"/>
  <c r="J55" i="3"/>
  <c r="AP54" i="3"/>
  <c r="AH54" i="3"/>
  <c r="Z54" i="3"/>
  <c r="R54" i="3"/>
  <c r="J54" i="3"/>
  <c r="AP53" i="3"/>
  <c r="AH53" i="3"/>
  <c r="Z53" i="3"/>
  <c r="R53" i="3"/>
  <c r="J53" i="3"/>
  <c r="AP49" i="3"/>
  <c r="AH49" i="3"/>
  <c r="Z49" i="3"/>
  <c r="R49" i="3"/>
  <c r="J49" i="3"/>
  <c r="AP48" i="3"/>
  <c r="AH48" i="3"/>
  <c r="Z48" i="3"/>
  <c r="R48" i="3"/>
  <c r="J48" i="3"/>
  <c r="AP47" i="3"/>
  <c r="AH47" i="3"/>
  <c r="Z47" i="3"/>
  <c r="R47" i="3"/>
  <c r="J47" i="3"/>
  <c r="AP46" i="3"/>
  <c r="AH46" i="3"/>
  <c r="Z46" i="3"/>
  <c r="R46" i="3"/>
  <c r="J46" i="3"/>
  <c r="AP45" i="3"/>
  <c r="AH45" i="3"/>
  <c r="Z45" i="3"/>
  <c r="AL48" i="4"/>
  <c r="AF39" i="4"/>
  <c r="P33" i="4"/>
  <c r="AF31" i="4"/>
  <c r="H30" i="4"/>
  <c r="X28" i="4"/>
  <c r="U25" i="4"/>
  <c r="AC24" i="4"/>
  <c r="AK23" i="4"/>
  <c r="E23" i="4"/>
  <c r="M22" i="4"/>
  <c r="U21" i="4"/>
  <c r="AC20" i="4"/>
  <c r="AK19" i="4"/>
  <c r="E19" i="4"/>
  <c r="M18" i="4"/>
  <c r="U15" i="4"/>
  <c r="AC14" i="4"/>
  <c r="N14" i="4"/>
  <c r="AP13" i="4"/>
  <c r="AC13" i="4"/>
  <c r="O13" i="4"/>
  <c r="C13" i="4"/>
  <c r="AD12" i="4"/>
  <c r="R12" i="4"/>
  <c r="E12" i="4"/>
  <c r="AE11" i="4"/>
  <c r="S11" i="4"/>
  <c r="F11" i="4"/>
  <c r="AH10" i="4"/>
  <c r="U10" i="4"/>
  <c r="G10" i="4"/>
  <c r="AI9" i="4"/>
  <c r="V9" i="4"/>
  <c r="J9" i="4"/>
  <c r="AK8" i="4"/>
  <c r="W8" i="4"/>
  <c r="K8" i="4"/>
  <c r="AL7" i="4"/>
  <c r="Z7" i="4"/>
  <c r="M7" i="4"/>
  <c r="AM65" i="3"/>
  <c r="X46" i="4"/>
  <c r="AF38" i="4"/>
  <c r="AN32" i="4"/>
  <c r="P31" i="4"/>
  <c r="AF29" i="4"/>
  <c r="H28" i="4"/>
  <c r="M25" i="4"/>
  <c r="U24" i="4"/>
  <c r="AC23" i="4"/>
  <c r="AK22" i="4"/>
  <c r="E22" i="4"/>
  <c r="M21" i="4"/>
  <c r="U20" i="4"/>
  <c r="AC19" i="4"/>
  <c r="AK18" i="4"/>
  <c r="E18" i="4"/>
  <c r="M15" i="4"/>
  <c r="Z14" i="4"/>
  <c r="K14" i="4"/>
  <c r="AL13" i="4"/>
  <c r="Z13" i="4"/>
  <c r="M13" i="4"/>
  <c r="AM12" i="4"/>
  <c r="AA12" i="4"/>
  <c r="N12" i="4"/>
  <c r="AP11" i="4"/>
  <c r="AC11" i="4"/>
  <c r="O11" i="4"/>
  <c r="C11" i="4"/>
  <c r="AD10" i="4"/>
  <c r="R10" i="4"/>
  <c r="E10" i="4"/>
  <c r="AE9" i="4"/>
  <c r="S9" i="4"/>
  <c r="F9" i="4"/>
  <c r="AH8" i="4"/>
  <c r="U8" i="4"/>
  <c r="G8" i="4"/>
  <c r="AI7" i="4"/>
  <c r="V7" i="4"/>
  <c r="J7" i="4"/>
  <c r="AK65" i="3"/>
  <c r="W65" i="3"/>
  <c r="K65" i="3"/>
  <c r="AO64" i="3"/>
  <c r="AE64" i="3"/>
  <c r="W64" i="3"/>
  <c r="O64" i="3"/>
  <c r="G64" i="3"/>
  <c r="AM63" i="3"/>
  <c r="AE63" i="3"/>
  <c r="W63" i="3"/>
  <c r="O63" i="3"/>
  <c r="G63" i="3"/>
  <c r="AM62" i="3"/>
  <c r="AE62" i="3"/>
  <c r="W62" i="3"/>
  <c r="O62" i="3"/>
  <c r="G62" i="3"/>
  <c r="AM61" i="3"/>
  <c r="AE61" i="3"/>
  <c r="W61" i="3"/>
  <c r="O61" i="3"/>
  <c r="G61" i="3"/>
  <c r="AM60" i="3"/>
  <c r="AE60" i="3"/>
  <c r="W60" i="3"/>
  <c r="O60" i="3"/>
  <c r="G60" i="3"/>
  <c r="AM59" i="3"/>
  <c r="AE59" i="3"/>
  <c r="W59" i="3"/>
  <c r="O59" i="3"/>
  <c r="G59" i="3"/>
  <c r="AM58" i="3"/>
  <c r="AE58" i="3"/>
  <c r="W58" i="3"/>
  <c r="O58" i="3"/>
  <c r="G58" i="3"/>
  <c r="AM57" i="3"/>
  <c r="AE57" i="3"/>
  <c r="W57" i="3"/>
  <c r="O57" i="3"/>
  <c r="G57" i="3"/>
  <c r="AM56" i="3"/>
  <c r="AE56" i="3"/>
  <c r="W56" i="3"/>
  <c r="O56" i="3"/>
  <c r="G56" i="3"/>
  <c r="AM55" i="3"/>
  <c r="AE55" i="3"/>
  <c r="W55" i="3"/>
  <c r="O55" i="3"/>
  <c r="G55" i="3"/>
  <c r="AM54" i="3"/>
  <c r="AE54" i="3"/>
  <c r="W54" i="3"/>
  <c r="O54" i="3"/>
  <c r="G54" i="3"/>
  <c r="AM53" i="3"/>
  <c r="AE53" i="3"/>
  <c r="W53" i="3"/>
  <c r="O53" i="3"/>
  <c r="G53" i="3"/>
  <c r="AM49" i="3"/>
  <c r="AE49" i="3"/>
  <c r="W49" i="3"/>
  <c r="O49" i="3"/>
  <c r="G49" i="3"/>
  <c r="AM48" i="3"/>
  <c r="AE48" i="3"/>
  <c r="W48" i="3"/>
  <c r="O48" i="3"/>
  <c r="G48" i="3"/>
  <c r="AM47" i="3"/>
  <c r="AE47" i="3"/>
  <c r="W47" i="3"/>
  <c r="O47" i="3"/>
  <c r="G47" i="3"/>
  <c r="AM46" i="3"/>
  <c r="AE46" i="3"/>
  <c r="W46" i="3"/>
  <c r="O46" i="3"/>
  <c r="G46" i="3"/>
  <c r="AM45" i="3"/>
  <c r="P47" i="4"/>
  <c r="AH23" i="4"/>
  <c r="R15" i="4"/>
  <c r="O12" i="4"/>
  <c r="AH9" i="4"/>
  <c r="K7" i="4"/>
  <c r="AH64" i="3"/>
  <c r="AO63" i="3"/>
  <c r="I63" i="3"/>
  <c r="Q62" i="3"/>
  <c r="Y61" i="3"/>
  <c r="AG60" i="3"/>
  <c r="AO59" i="3"/>
  <c r="I59" i="3"/>
  <c r="Q58" i="3"/>
  <c r="Y57" i="3"/>
  <c r="AG56" i="3"/>
  <c r="AO55" i="3"/>
  <c r="I55" i="3"/>
  <c r="Q54" i="3"/>
  <c r="Y53" i="3"/>
  <c r="AG49" i="3"/>
  <c r="AO48" i="3"/>
  <c r="I48" i="3"/>
  <c r="AF47" i="3"/>
  <c r="P47" i="3"/>
  <c r="AN46" i="3"/>
  <c r="X46" i="3"/>
  <c r="H46" i="3"/>
  <c r="AF45" i="3"/>
  <c r="V45" i="3"/>
  <c r="N45" i="3"/>
  <c r="F45" i="3"/>
  <c r="AL44" i="3"/>
  <c r="AD44" i="3"/>
  <c r="V44" i="3"/>
  <c r="N44" i="3"/>
  <c r="F44" i="3"/>
  <c r="AL43" i="3"/>
  <c r="AD43" i="3"/>
  <c r="V43" i="3"/>
  <c r="N43" i="3"/>
  <c r="F43" i="3"/>
  <c r="AL42" i="3"/>
  <c r="AD42" i="3"/>
  <c r="V42" i="3"/>
  <c r="N42" i="3"/>
  <c r="F42" i="3"/>
  <c r="AL41" i="3"/>
  <c r="AD41" i="3"/>
  <c r="V41" i="3"/>
  <c r="N41" i="3"/>
  <c r="F41" i="3"/>
  <c r="AL40" i="3"/>
  <c r="AD40" i="3"/>
  <c r="V40" i="3"/>
  <c r="N40" i="3"/>
  <c r="F40" i="3"/>
  <c r="AL39" i="3"/>
  <c r="AD39" i="3"/>
  <c r="V39" i="3"/>
  <c r="N39" i="3"/>
  <c r="F39" i="3"/>
  <c r="AL38" i="3"/>
  <c r="AD38" i="3"/>
  <c r="V38" i="3"/>
  <c r="N38" i="3"/>
  <c r="F38" i="3"/>
  <c r="AL37" i="3"/>
  <c r="AD37" i="3"/>
  <c r="V37" i="3"/>
  <c r="N37" i="3"/>
  <c r="F37" i="3"/>
  <c r="AL36" i="3"/>
  <c r="AD36" i="3"/>
  <c r="V36" i="3"/>
  <c r="N36" i="3"/>
  <c r="F36" i="3"/>
  <c r="AL35" i="3"/>
  <c r="AD35" i="3"/>
  <c r="V35" i="3"/>
  <c r="N35" i="3"/>
  <c r="F35" i="3"/>
  <c r="AL34" i="3"/>
  <c r="AD34" i="3"/>
  <c r="V34" i="3"/>
  <c r="N34" i="3"/>
  <c r="F34" i="3"/>
  <c r="AL33" i="3"/>
  <c r="AD33" i="3"/>
  <c r="V33" i="3"/>
  <c r="N33" i="3"/>
  <c r="F33" i="3"/>
  <c r="AL32" i="3"/>
  <c r="AD32" i="3"/>
  <c r="V32" i="3"/>
  <c r="N32" i="3"/>
  <c r="F32" i="3"/>
  <c r="AL31" i="3"/>
  <c r="AD31" i="3"/>
  <c r="V31" i="3"/>
  <c r="N31" i="3"/>
  <c r="F31" i="3"/>
  <c r="AL30" i="3"/>
  <c r="I39" i="4"/>
  <c r="AP22" i="4"/>
  <c r="AA14" i="4"/>
  <c r="C12" i="4"/>
  <c r="U9" i="4"/>
  <c r="AL65" i="3"/>
  <c r="AG64" i="3"/>
  <c r="AN63" i="3"/>
  <c r="H63" i="3"/>
  <c r="P62" i="3"/>
  <c r="X61" i="3"/>
  <c r="AF60" i="3"/>
  <c r="AN59" i="3"/>
  <c r="H59" i="3"/>
  <c r="P58" i="3"/>
  <c r="X57" i="3"/>
  <c r="AF56" i="3"/>
  <c r="AN55" i="3"/>
  <c r="H55" i="3"/>
  <c r="P54" i="3"/>
  <c r="X53" i="3"/>
  <c r="AF49" i="3"/>
  <c r="AN48" i="3"/>
  <c r="H48" i="3"/>
  <c r="AD47" i="3"/>
  <c r="N47" i="3"/>
  <c r="AL46" i="3"/>
  <c r="V46" i="3"/>
  <c r="F46" i="3"/>
  <c r="AE45" i="3"/>
  <c r="U45" i="3"/>
  <c r="M45" i="3"/>
  <c r="E45" i="3"/>
  <c r="AK44" i="3"/>
  <c r="AC44" i="3"/>
  <c r="U44" i="3"/>
  <c r="M44" i="3"/>
  <c r="E44" i="3"/>
  <c r="AK43" i="3"/>
  <c r="AC43" i="3"/>
  <c r="U43" i="3"/>
  <c r="M43" i="3"/>
  <c r="E43" i="3"/>
  <c r="AK42" i="3"/>
  <c r="AC42" i="3"/>
  <c r="U42" i="3"/>
  <c r="M42" i="3"/>
  <c r="E42" i="3"/>
  <c r="AK41" i="3"/>
  <c r="AC41" i="3"/>
  <c r="U41" i="3"/>
  <c r="M41" i="3"/>
  <c r="E41" i="3"/>
  <c r="AK40" i="3"/>
  <c r="AC40" i="3"/>
  <c r="U40" i="3"/>
  <c r="M40" i="3"/>
  <c r="E40" i="3"/>
  <c r="AK39" i="3"/>
  <c r="AC39" i="3"/>
  <c r="U39" i="3"/>
  <c r="M39" i="3"/>
  <c r="E39" i="3"/>
  <c r="AK38" i="3"/>
  <c r="AC38" i="3"/>
  <c r="U38" i="3"/>
  <c r="M38" i="3"/>
  <c r="E38" i="3"/>
  <c r="AK37" i="3"/>
  <c r="AC37" i="3"/>
  <c r="U37" i="3"/>
  <c r="M37" i="3"/>
  <c r="E37" i="3"/>
  <c r="AK36" i="3"/>
  <c r="AC36" i="3"/>
  <c r="U36" i="3"/>
  <c r="M36" i="3"/>
  <c r="E36" i="3"/>
  <c r="AK35" i="3"/>
  <c r="AC35" i="3"/>
  <c r="U35" i="3"/>
  <c r="M35" i="3"/>
  <c r="E35" i="3"/>
  <c r="AK34" i="3"/>
  <c r="AC34" i="3"/>
  <c r="U34" i="3"/>
  <c r="M34" i="3"/>
  <c r="E34" i="3"/>
  <c r="AK33" i="3"/>
  <c r="AC33" i="3"/>
  <c r="U33" i="3"/>
  <c r="M33" i="3"/>
  <c r="E33" i="3"/>
  <c r="AK32" i="3"/>
  <c r="AC32" i="3"/>
  <c r="U32" i="3"/>
  <c r="M32" i="3"/>
  <c r="E32" i="3"/>
  <c r="AK31" i="3"/>
  <c r="AC31" i="3"/>
  <c r="U31" i="3"/>
  <c r="M31" i="3"/>
  <c r="E31" i="3"/>
  <c r="AK30" i="3"/>
  <c r="AC30" i="3"/>
  <c r="U30" i="3"/>
  <c r="M30" i="3"/>
  <c r="E30" i="3"/>
  <c r="AK27" i="3"/>
  <c r="AC27" i="3"/>
  <c r="U27" i="3"/>
  <c r="M27" i="3"/>
  <c r="E27" i="3"/>
  <c r="AK26" i="3"/>
  <c r="AC26" i="3"/>
  <c r="U26" i="3"/>
  <c r="M26" i="3"/>
  <c r="E26" i="3"/>
  <c r="AK25" i="3"/>
  <c r="AC25" i="3"/>
  <c r="U25" i="3"/>
  <c r="M25" i="3"/>
  <c r="E25" i="3"/>
  <c r="AK24" i="3"/>
  <c r="AC24" i="3"/>
  <c r="U24" i="3"/>
  <c r="M24" i="3"/>
  <c r="I33" i="4"/>
  <c r="J22" i="4"/>
  <c r="M14" i="4"/>
  <c r="AD11" i="4"/>
  <c r="G9" i="4"/>
  <c r="AA65" i="3"/>
  <c r="Y64" i="3"/>
  <c r="AG63" i="3"/>
  <c r="AO62" i="3"/>
  <c r="I62" i="3"/>
  <c r="Q61" i="3"/>
  <c r="Y60" i="3"/>
  <c r="AG59" i="3"/>
  <c r="AO58" i="3"/>
  <c r="I58" i="3"/>
  <c r="Q57" i="3"/>
  <c r="Y56" i="3"/>
  <c r="AG55" i="3"/>
  <c r="AO54" i="3"/>
  <c r="I54" i="3"/>
  <c r="Q53" i="3"/>
  <c r="Y49" i="3"/>
  <c r="AG48" i="3"/>
  <c r="D48" i="3"/>
  <c r="AB47" i="3"/>
  <c r="L47" i="3"/>
  <c r="AJ46" i="3"/>
  <c r="T46" i="3"/>
  <c r="D46" i="3"/>
  <c r="AD45" i="3"/>
  <c r="T45" i="3"/>
  <c r="L45" i="3"/>
  <c r="D45" i="3"/>
  <c r="AJ44" i="3"/>
  <c r="AB44" i="3"/>
  <c r="T44" i="3"/>
  <c r="L44" i="3"/>
  <c r="D44" i="3"/>
  <c r="AJ43" i="3"/>
  <c r="AB43" i="3"/>
  <c r="T43" i="3"/>
  <c r="L43" i="3"/>
  <c r="D43" i="3"/>
  <c r="AJ42" i="3"/>
  <c r="AB42" i="3"/>
  <c r="T42" i="3"/>
  <c r="L42" i="3"/>
  <c r="D42" i="3"/>
  <c r="AJ41" i="3"/>
  <c r="AB41" i="3"/>
  <c r="T41" i="3"/>
  <c r="L41" i="3"/>
  <c r="D41" i="3"/>
  <c r="AJ40" i="3"/>
  <c r="AB40" i="3"/>
  <c r="T40" i="3"/>
  <c r="L40" i="3"/>
  <c r="D40" i="3"/>
  <c r="AJ39" i="3"/>
  <c r="AB39" i="3"/>
  <c r="T39" i="3"/>
  <c r="L39" i="3"/>
  <c r="D39" i="3"/>
  <c r="AJ38" i="3"/>
  <c r="AB38" i="3"/>
  <c r="T38" i="3"/>
  <c r="L38" i="3"/>
  <c r="D38" i="3"/>
  <c r="AJ37" i="3"/>
  <c r="AB37" i="3"/>
  <c r="T37" i="3"/>
  <c r="L37" i="3"/>
  <c r="D37" i="3"/>
  <c r="AJ36" i="3"/>
  <c r="AB36" i="3"/>
  <c r="T36" i="3"/>
  <c r="L36" i="3"/>
  <c r="D36" i="3"/>
  <c r="AJ35" i="3"/>
  <c r="AB35" i="3"/>
  <c r="T35" i="3"/>
  <c r="L35" i="3"/>
  <c r="D35" i="3"/>
  <c r="AJ34" i="3"/>
  <c r="AB34" i="3"/>
  <c r="T34" i="3"/>
  <c r="L34" i="3"/>
  <c r="D34" i="3"/>
  <c r="AJ33" i="3"/>
  <c r="AB33" i="3"/>
  <c r="T33" i="3"/>
  <c r="L33" i="3"/>
  <c r="D33" i="3"/>
  <c r="AJ32" i="3"/>
  <c r="AB32" i="3"/>
  <c r="T32" i="3"/>
  <c r="L32" i="3"/>
  <c r="D32" i="3"/>
  <c r="AJ31" i="3"/>
  <c r="AB31" i="3"/>
  <c r="T31" i="3"/>
  <c r="L31" i="3"/>
  <c r="D31" i="3"/>
  <c r="AJ30" i="3"/>
  <c r="AB30" i="3"/>
  <c r="Y31" i="4"/>
  <c r="R21" i="4"/>
  <c r="AM13" i="4"/>
  <c r="R11" i="4"/>
  <c r="AI8" i="4"/>
  <c r="Z65" i="3"/>
  <c r="X64" i="3"/>
  <c r="AF63" i="3"/>
  <c r="AN62" i="3"/>
  <c r="H62" i="3"/>
  <c r="P61" i="3"/>
  <c r="X60" i="3"/>
  <c r="AF59" i="3"/>
  <c r="AN58" i="3"/>
  <c r="H58" i="3"/>
  <c r="P57" i="3"/>
  <c r="X56" i="3"/>
  <c r="AF55" i="3"/>
  <c r="AN54" i="3"/>
  <c r="H54" i="3"/>
  <c r="P53" i="3"/>
  <c r="X49" i="3"/>
  <c r="AF48" i="3"/>
  <c r="AO47" i="3"/>
  <c r="Y47" i="3"/>
  <c r="I47" i="3"/>
  <c r="AG46" i="3"/>
  <c r="Q46" i="3"/>
  <c r="AO45" i="3"/>
  <c r="AB45" i="3"/>
  <c r="S45" i="3"/>
  <c r="K45" i="3"/>
  <c r="C45" i="3"/>
  <c r="AI44" i="3"/>
  <c r="AA44" i="3"/>
  <c r="S44" i="3"/>
  <c r="K44" i="3"/>
  <c r="C44" i="3"/>
  <c r="AI43" i="3"/>
  <c r="AA43" i="3"/>
  <c r="S43" i="3"/>
  <c r="K43" i="3"/>
  <c r="C43" i="3"/>
  <c r="AI42" i="3"/>
  <c r="AA42" i="3"/>
  <c r="S42" i="3"/>
  <c r="K42" i="3"/>
  <c r="C42" i="3"/>
  <c r="AI41" i="3"/>
  <c r="AA41" i="3"/>
  <c r="S41" i="3"/>
  <c r="K41" i="3"/>
  <c r="C41" i="3"/>
  <c r="AI40" i="3"/>
  <c r="AA40" i="3"/>
  <c r="S40" i="3"/>
  <c r="K40" i="3"/>
  <c r="C40" i="3"/>
  <c r="AI39" i="3"/>
  <c r="AA39" i="3"/>
  <c r="S39" i="3"/>
  <c r="K39" i="3"/>
  <c r="C39" i="3"/>
  <c r="AI38" i="3"/>
  <c r="AA38" i="3"/>
  <c r="S38" i="3"/>
  <c r="K38" i="3"/>
  <c r="C38" i="3"/>
  <c r="AI37" i="3"/>
  <c r="AA37" i="3"/>
  <c r="S37" i="3"/>
  <c r="K37" i="3"/>
  <c r="C37" i="3"/>
  <c r="AI36" i="3"/>
  <c r="AA36" i="3"/>
  <c r="S36" i="3"/>
  <c r="K36" i="3"/>
  <c r="C36" i="3"/>
  <c r="AI35" i="3"/>
  <c r="AA35" i="3"/>
  <c r="S35" i="3"/>
  <c r="K35" i="3"/>
  <c r="C35" i="3"/>
  <c r="AI34" i="3"/>
  <c r="AA34" i="3"/>
  <c r="S34" i="3"/>
  <c r="K34" i="3"/>
  <c r="C34" i="3"/>
  <c r="AI33" i="3"/>
  <c r="AA33" i="3"/>
  <c r="S33" i="3"/>
  <c r="K33" i="3"/>
  <c r="C33" i="3"/>
  <c r="AI32" i="3"/>
  <c r="AA32" i="3"/>
  <c r="S32" i="3"/>
  <c r="K32" i="3"/>
  <c r="C32" i="3"/>
  <c r="AI31" i="3"/>
  <c r="AA31" i="3"/>
  <c r="S31" i="3"/>
  <c r="K31" i="3"/>
  <c r="C31" i="3"/>
  <c r="AI30" i="3"/>
  <c r="AA30" i="3"/>
  <c r="S30" i="3"/>
  <c r="K30" i="3"/>
  <c r="C30" i="3"/>
  <c r="AI27" i="3"/>
  <c r="AA27" i="3"/>
  <c r="S27" i="3"/>
  <c r="K27" i="3"/>
  <c r="C27" i="3"/>
  <c r="AI26" i="3"/>
  <c r="AA26" i="3"/>
  <c r="S26" i="3"/>
  <c r="K26" i="3"/>
  <c r="C26" i="3"/>
  <c r="AI25" i="3"/>
  <c r="AA25" i="3"/>
  <c r="S25" i="3"/>
  <c r="K25" i="3"/>
  <c r="C25" i="3"/>
  <c r="AI24" i="3"/>
  <c r="AA24" i="3"/>
  <c r="S24" i="3"/>
  <c r="K24" i="3"/>
  <c r="AO29" i="4"/>
  <c r="Z20" i="4"/>
  <c r="AA13" i="4"/>
  <c r="E11" i="4"/>
  <c r="V8" i="4"/>
  <c r="N65" i="3"/>
  <c r="Q64" i="3"/>
  <c r="Y63" i="3"/>
  <c r="AG62" i="3"/>
  <c r="AO61" i="3"/>
  <c r="I61" i="3"/>
  <c r="Q60" i="3"/>
  <c r="Y59" i="3"/>
  <c r="AG58" i="3"/>
  <c r="AO57" i="3"/>
  <c r="I57" i="3"/>
  <c r="Q56" i="3"/>
  <c r="Y55" i="3"/>
  <c r="AG54" i="3"/>
  <c r="AO53" i="3"/>
  <c r="I53" i="3"/>
  <c r="Q49" i="3"/>
  <c r="Y48" i="3"/>
  <c r="AN47" i="3"/>
  <c r="X47" i="3"/>
  <c r="H47" i="3"/>
  <c r="AF46" i="3"/>
  <c r="P46" i="3"/>
  <c r="AN45" i="3"/>
  <c r="AA45" i="3"/>
  <c r="R45" i="3"/>
  <c r="J45" i="3"/>
  <c r="AP44" i="3"/>
  <c r="AH44" i="3"/>
  <c r="Z44" i="3"/>
  <c r="R44" i="3"/>
  <c r="J44" i="3"/>
  <c r="AP43" i="3"/>
  <c r="AH43" i="3"/>
  <c r="Z43" i="3"/>
  <c r="R43" i="3"/>
  <c r="J43" i="3"/>
  <c r="AP42" i="3"/>
  <c r="AH42" i="3"/>
  <c r="Z42" i="3"/>
  <c r="R42" i="3"/>
  <c r="J42" i="3"/>
  <c r="AP41" i="3"/>
  <c r="AH41" i="3"/>
  <c r="Z41" i="3"/>
  <c r="R41" i="3"/>
  <c r="J41" i="3"/>
  <c r="AP40" i="3"/>
  <c r="AH40" i="3"/>
  <c r="Z40" i="3"/>
  <c r="R40" i="3"/>
  <c r="J40" i="3"/>
  <c r="AP39" i="3"/>
  <c r="AH39" i="3"/>
  <c r="Z39" i="3"/>
  <c r="R39" i="3"/>
  <c r="J39" i="3"/>
  <c r="AP38" i="3"/>
  <c r="AH38" i="3"/>
  <c r="Z38" i="3"/>
  <c r="R38" i="3"/>
  <c r="J38" i="3"/>
  <c r="AP37" i="3"/>
  <c r="AH37" i="3"/>
  <c r="Z37" i="3"/>
  <c r="R37" i="3"/>
  <c r="J37" i="3"/>
  <c r="AP36" i="3"/>
  <c r="AH36" i="3"/>
  <c r="Z36" i="3"/>
  <c r="R36" i="3"/>
  <c r="J36" i="3"/>
  <c r="AP35" i="3"/>
  <c r="AH35" i="3"/>
  <c r="Z35" i="3"/>
  <c r="R35" i="3"/>
  <c r="J35" i="3"/>
  <c r="AP34" i="3"/>
  <c r="AH34" i="3"/>
  <c r="Z34" i="3"/>
  <c r="R34" i="3"/>
  <c r="J34" i="3"/>
  <c r="AP33" i="3"/>
  <c r="AH33" i="3"/>
  <c r="Z33" i="3"/>
  <c r="R33" i="3"/>
  <c r="J33" i="3"/>
  <c r="AP32" i="3"/>
  <c r="AH32" i="3"/>
  <c r="Z32" i="3"/>
  <c r="R32" i="3"/>
  <c r="J32" i="3"/>
  <c r="AP31" i="3"/>
  <c r="AH31" i="3"/>
  <c r="Z31" i="3"/>
  <c r="R31" i="3"/>
  <c r="J31" i="3"/>
  <c r="AP30" i="3"/>
  <c r="AH30" i="3"/>
  <c r="Z30" i="3"/>
  <c r="R30" i="3"/>
  <c r="J30" i="3"/>
  <c r="AP27" i="3"/>
  <c r="AH27" i="3"/>
  <c r="Z27" i="3"/>
  <c r="R27" i="3"/>
  <c r="J27" i="3"/>
  <c r="AP26" i="3"/>
  <c r="AH26" i="3"/>
  <c r="Z26" i="3"/>
  <c r="R26" i="3"/>
  <c r="J26" i="3"/>
  <c r="AP25" i="3"/>
  <c r="AH25" i="3"/>
  <c r="Q28" i="4"/>
  <c r="AH19" i="4"/>
  <c r="N13" i="4"/>
  <c r="AE10" i="4"/>
  <c r="J8" i="4"/>
  <c r="M65" i="3"/>
  <c r="P64" i="3"/>
  <c r="X63" i="3"/>
  <c r="AF62" i="3"/>
  <c r="AN61" i="3"/>
  <c r="H61" i="3"/>
  <c r="P60" i="3"/>
  <c r="X59" i="3"/>
  <c r="AF58" i="3"/>
  <c r="AN57" i="3"/>
  <c r="H57" i="3"/>
  <c r="P56" i="3"/>
  <c r="X55" i="3"/>
  <c r="AF54" i="3"/>
  <c r="AN53" i="3"/>
  <c r="H53" i="3"/>
  <c r="P49" i="3"/>
  <c r="X48" i="3"/>
  <c r="AL47" i="3"/>
  <c r="V47" i="3"/>
  <c r="F47" i="3"/>
  <c r="AD46" i="3"/>
  <c r="N46" i="3"/>
  <c r="AL45" i="3"/>
  <c r="Y45" i="3"/>
  <c r="Q45" i="3"/>
  <c r="I45" i="3"/>
  <c r="AO44" i="3"/>
  <c r="AG44" i="3"/>
  <c r="Y44" i="3"/>
  <c r="Q44" i="3"/>
  <c r="I44" i="3"/>
  <c r="AO43" i="3"/>
  <c r="AG43" i="3"/>
  <c r="Y43" i="3"/>
  <c r="Q43" i="3"/>
  <c r="I43" i="3"/>
  <c r="AO42" i="3"/>
  <c r="AG42" i="3"/>
  <c r="Y42" i="3"/>
  <c r="Q42" i="3"/>
  <c r="I42" i="3"/>
  <c r="AO41" i="3"/>
  <c r="AG41" i="3"/>
  <c r="Y41" i="3"/>
  <c r="Q41" i="3"/>
  <c r="I41" i="3"/>
  <c r="AO40" i="3"/>
  <c r="AG40" i="3"/>
  <c r="Y40" i="3"/>
  <c r="Q40" i="3"/>
  <c r="I40" i="3"/>
  <c r="AO39" i="3"/>
  <c r="AG39" i="3"/>
  <c r="Y39" i="3"/>
  <c r="Q39" i="3"/>
  <c r="I39" i="3"/>
  <c r="AO38" i="3"/>
  <c r="AG38" i="3"/>
  <c r="Y38" i="3"/>
  <c r="Q38" i="3"/>
  <c r="I38" i="3"/>
  <c r="AO37" i="3"/>
  <c r="AG37" i="3"/>
  <c r="Y37" i="3"/>
  <c r="Q37" i="3"/>
  <c r="I37" i="3"/>
  <c r="AO36" i="3"/>
  <c r="AG36" i="3"/>
  <c r="Y36" i="3"/>
  <c r="Q36" i="3"/>
  <c r="I36" i="3"/>
  <c r="AO35" i="3"/>
  <c r="AG35" i="3"/>
  <c r="Y35" i="3"/>
  <c r="Q35" i="3"/>
  <c r="I35" i="3"/>
  <c r="Z24" i="4"/>
  <c r="J18" i="4"/>
  <c r="AC12" i="4"/>
  <c r="F10" i="4"/>
  <c r="W7" i="4"/>
  <c r="AP64" i="3"/>
  <c r="H64" i="3"/>
  <c r="P63" i="3"/>
  <c r="X62" i="3"/>
  <c r="AF61" i="3"/>
  <c r="AN60" i="3"/>
  <c r="H60" i="3"/>
  <c r="P59" i="3"/>
  <c r="X58" i="3"/>
  <c r="AF57" i="3"/>
  <c r="AN56" i="3"/>
  <c r="H56" i="3"/>
  <c r="P55" i="3"/>
  <c r="X54" i="3"/>
  <c r="AF53" i="3"/>
  <c r="AN49" i="3"/>
  <c r="H49" i="3"/>
  <c r="P48" i="3"/>
  <c r="AG47" i="3"/>
  <c r="Q47" i="3"/>
  <c r="AO46" i="3"/>
  <c r="Y46" i="3"/>
  <c r="I46" i="3"/>
  <c r="AG45" i="3"/>
  <c r="W45" i="3"/>
  <c r="O45" i="3"/>
  <c r="G45" i="3"/>
  <c r="AM44" i="3"/>
  <c r="AE44" i="3"/>
  <c r="W44" i="3"/>
  <c r="O44" i="3"/>
  <c r="G44" i="3"/>
  <c r="AM43" i="3"/>
  <c r="AE43" i="3"/>
  <c r="W43" i="3"/>
  <c r="O43" i="3"/>
  <c r="G43" i="3"/>
  <c r="AM42" i="3"/>
  <c r="AE42" i="3"/>
  <c r="W42" i="3"/>
  <c r="O42" i="3"/>
  <c r="G42" i="3"/>
  <c r="AM41" i="3"/>
  <c r="AE41" i="3"/>
  <c r="W41" i="3"/>
  <c r="O41" i="3"/>
  <c r="G41" i="3"/>
  <c r="AM40" i="3"/>
  <c r="AE40" i="3"/>
  <c r="W40" i="3"/>
  <c r="O40" i="3"/>
  <c r="G40" i="3"/>
  <c r="AM39" i="3"/>
  <c r="AE39" i="3"/>
  <c r="W39" i="3"/>
  <c r="O39" i="3"/>
  <c r="G39" i="3"/>
  <c r="AM38" i="3"/>
  <c r="AE38" i="3"/>
  <c r="W38" i="3"/>
  <c r="O38" i="3"/>
  <c r="G38" i="3"/>
  <c r="AM37" i="3"/>
  <c r="AE37" i="3"/>
  <c r="W37" i="3"/>
  <c r="O37" i="3"/>
  <c r="G37" i="3"/>
  <c r="AM36" i="3"/>
  <c r="AE36" i="3"/>
  <c r="W36" i="3"/>
  <c r="O36" i="3"/>
  <c r="G36" i="3"/>
  <c r="AM35" i="3"/>
  <c r="AE35" i="3"/>
  <c r="W35" i="3"/>
  <c r="O35" i="3"/>
  <c r="G35" i="3"/>
  <c r="AM34" i="3"/>
  <c r="AE34" i="3"/>
  <c r="W34" i="3"/>
  <c r="O34" i="3"/>
  <c r="G34" i="3"/>
  <c r="AM33" i="3"/>
  <c r="AE33" i="3"/>
  <c r="W33" i="3"/>
  <c r="O33" i="3"/>
  <c r="G33" i="3"/>
  <c r="AM32" i="3"/>
  <c r="AE32" i="3"/>
  <c r="W32" i="3"/>
  <c r="O32" i="3"/>
  <c r="G32" i="3"/>
  <c r="AM31" i="3"/>
  <c r="AE31" i="3"/>
  <c r="W31" i="3"/>
  <c r="O31" i="3"/>
  <c r="G31" i="3"/>
  <c r="AM30" i="3"/>
  <c r="AE30" i="3"/>
  <c r="W30" i="3"/>
  <c r="O30" i="3"/>
  <c r="G30" i="3"/>
  <c r="AM27" i="3"/>
  <c r="AE27" i="3"/>
  <c r="W27" i="3"/>
  <c r="O27" i="3"/>
  <c r="G27" i="3"/>
  <c r="AM26" i="3"/>
  <c r="AE26" i="3"/>
  <c r="W26" i="3"/>
  <c r="O26" i="3"/>
  <c r="G26" i="3"/>
  <c r="AM25" i="3"/>
  <c r="AE25" i="3"/>
  <c r="W25" i="3"/>
  <c r="O25" i="3"/>
  <c r="G25" i="3"/>
  <c r="AM24" i="3"/>
  <c r="AE24" i="3"/>
  <c r="W24" i="3"/>
  <c r="O24" i="3"/>
  <c r="G24" i="3"/>
  <c r="R25" i="4"/>
  <c r="Y62" i="3"/>
  <c r="I56" i="3"/>
  <c r="T47" i="3"/>
  <c r="AN44" i="3"/>
  <c r="P43" i="3"/>
  <c r="AF41" i="3"/>
  <c r="H40" i="3"/>
  <c r="X38" i="3"/>
  <c r="AN36" i="3"/>
  <c r="P35" i="3"/>
  <c r="Q34" i="3"/>
  <c r="Y33" i="3"/>
  <c r="AG32" i="3"/>
  <c r="AO31" i="3"/>
  <c r="I31" i="3"/>
  <c r="X30" i="3"/>
  <c r="H30" i="3"/>
  <c r="AF27" i="3"/>
  <c r="P27" i="3"/>
  <c r="AN26" i="3"/>
  <c r="X26" i="3"/>
  <c r="H26" i="3"/>
  <c r="AF25" i="3"/>
  <c r="R25" i="3"/>
  <c r="F25" i="3"/>
  <c r="AG24" i="3"/>
  <c r="T24" i="3"/>
  <c r="H24" i="3"/>
  <c r="AM23" i="3"/>
  <c r="AE23" i="3"/>
  <c r="W23" i="3"/>
  <c r="O23" i="3"/>
  <c r="G23" i="3"/>
  <c r="AM22" i="3"/>
  <c r="AE22" i="3"/>
  <c r="W22" i="3"/>
  <c r="O22" i="3"/>
  <c r="G22" i="3"/>
  <c r="AM21" i="3"/>
  <c r="AE21" i="3"/>
  <c r="W21" i="3"/>
  <c r="O21" i="3"/>
  <c r="G21" i="3"/>
  <c r="AM20" i="3"/>
  <c r="AE20" i="3"/>
  <c r="W20" i="3"/>
  <c r="O20" i="3"/>
  <c r="G20" i="3"/>
  <c r="AM19" i="3"/>
  <c r="AE19" i="3"/>
  <c r="W19" i="3"/>
  <c r="O19" i="3"/>
  <c r="G19" i="3"/>
  <c r="AM18" i="3"/>
  <c r="AE18" i="3"/>
  <c r="W18" i="3"/>
  <c r="O18" i="3"/>
  <c r="G18" i="3"/>
  <c r="AM17" i="3"/>
  <c r="AE17" i="3"/>
  <c r="W17" i="3"/>
  <c r="O17" i="3"/>
  <c r="G17" i="3"/>
  <c r="AM16" i="3"/>
  <c r="AE16" i="3"/>
  <c r="W16" i="3"/>
  <c r="O16" i="3"/>
  <c r="G16" i="3"/>
  <c r="AM15" i="3"/>
  <c r="AE15" i="3"/>
  <c r="W15" i="3"/>
  <c r="O15" i="3"/>
  <c r="G15" i="3"/>
  <c r="AM14" i="3"/>
  <c r="AE14" i="3"/>
  <c r="W14" i="3"/>
  <c r="O14" i="3"/>
  <c r="G14" i="3"/>
  <c r="AM13" i="3"/>
  <c r="AE13" i="3"/>
  <c r="W13" i="3"/>
  <c r="O13" i="3"/>
  <c r="G13" i="3"/>
  <c r="AM12" i="3"/>
  <c r="AE12" i="3"/>
  <c r="W12" i="3"/>
  <c r="O12" i="3"/>
  <c r="G12" i="3"/>
  <c r="AM11" i="3"/>
  <c r="AE11" i="3"/>
  <c r="W11" i="3"/>
  <c r="O11" i="3"/>
  <c r="G11" i="3"/>
  <c r="AM10" i="3"/>
  <c r="AE10" i="3"/>
  <c r="W10" i="3"/>
  <c r="O10" i="3"/>
  <c r="G10" i="3"/>
  <c r="AM9" i="3"/>
  <c r="AE9" i="3"/>
  <c r="W9" i="3"/>
  <c r="O9" i="3"/>
  <c r="G9" i="3"/>
  <c r="AM8" i="3"/>
  <c r="AE8" i="3"/>
  <c r="AP18" i="4"/>
  <c r="AG61" i="3"/>
  <c r="Q55" i="3"/>
  <c r="D47" i="3"/>
  <c r="AF44" i="3"/>
  <c r="H43" i="3"/>
  <c r="X41" i="3"/>
  <c r="AN39" i="3"/>
  <c r="P38" i="3"/>
  <c r="AF36" i="3"/>
  <c r="H35" i="3"/>
  <c r="P34" i="3"/>
  <c r="X33" i="3"/>
  <c r="AF32" i="3"/>
  <c r="AN31" i="3"/>
  <c r="H31" i="3"/>
  <c r="V30" i="3"/>
  <c r="F30" i="3"/>
  <c r="AD27" i="3"/>
  <c r="N27" i="3"/>
  <c r="AL26" i="3"/>
  <c r="V26" i="3"/>
  <c r="F26" i="3"/>
  <c r="AD25" i="3"/>
  <c r="Q25" i="3"/>
  <c r="D25" i="3"/>
  <c r="AF24" i="3"/>
  <c r="R24" i="3"/>
  <c r="F24" i="3"/>
  <c r="AL23" i="3"/>
  <c r="AD23" i="3"/>
  <c r="V23" i="3"/>
  <c r="N23" i="3"/>
  <c r="F23" i="3"/>
  <c r="AL22" i="3"/>
  <c r="AD22" i="3"/>
  <c r="V22" i="3"/>
  <c r="N22" i="3"/>
  <c r="F22" i="3"/>
  <c r="AL21" i="3"/>
  <c r="AD21" i="3"/>
  <c r="V21" i="3"/>
  <c r="N21" i="3"/>
  <c r="F21" i="3"/>
  <c r="AL20" i="3"/>
  <c r="AD20" i="3"/>
  <c r="V20" i="3"/>
  <c r="N20" i="3"/>
  <c r="F20" i="3"/>
  <c r="AL19" i="3"/>
  <c r="AD19" i="3"/>
  <c r="V19" i="3"/>
  <c r="N19" i="3"/>
  <c r="F19" i="3"/>
  <c r="AL18" i="3"/>
  <c r="AD18" i="3"/>
  <c r="V18" i="3"/>
  <c r="N18" i="3"/>
  <c r="F18" i="3"/>
  <c r="AL17" i="3"/>
  <c r="AD17" i="3"/>
  <c r="V17" i="3"/>
  <c r="N17" i="3"/>
  <c r="F17" i="3"/>
  <c r="AL16" i="3"/>
  <c r="AD16" i="3"/>
  <c r="V16" i="3"/>
  <c r="N16" i="3"/>
  <c r="F16" i="3"/>
  <c r="AL15" i="3"/>
  <c r="AD15" i="3"/>
  <c r="V15" i="3"/>
  <c r="N15" i="3"/>
  <c r="F15" i="3"/>
  <c r="AL14" i="3"/>
  <c r="AD14" i="3"/>
  <c r="V14" i="3"/>
  <c r="N14" i="3"/>
  <c r="F14" i="3"/>
  <c r="AL13" i="3"/>
  <c r="AD13" i="3"/>
  <c r="V13" i="3"/>
  <c r="N13" i="3"/>
  <c r="F13" i="3"/>
  <c r="AL12" i="3"/>
  <c r="AD12" i="3"/>
  <c r="V12" i="3"/>
  <c r="N12" i="3"/>
  <c r="F12" i="3"/>
  <c r="AL11" i="3"/>
  <c r="AD11" i="3"/>
  <c r="V11" i="3"/>
  <c r="N11" i="3"/>
  <c r="F11" i="3"/>
  <c r="AL10" i="3"/>
  <c r="AD10" i="3"/>
  <c r="V10" i="3"/>
  <c r="N10" i="3"/>
  <c r="F10" i="3"/>
  <c r="AL9" i="3"/>
  <c r="AD9" i="3"/>
  <c r="V9" i="3"/>
  <c r="N9" i="3"/>
  <c r="F9" i="3"/>
  <c r="AL8" i="3"/>
  <c r="AD8" i="3"/>
  <c r="V8" i="3"/>
  <c r="N8" i="3"/>
  <c r="F8" i="3"/>
  <c r="AL7" i="3"/>
  <c r="AD7" i="3"/>
  <c r="V7" i="3"/>
  <c r="N7" i="3"/>
  <c r="F7" i="3"/>
  <c r="AL56" i="2"/>
  <c r="AD56" i="2"/>
  <c r="V56" i="2"/>
  <c r="N56" i="2"/>
  <c r="F56" i="2"/>
  <c r="AL55" i="2"/>
  <c r="AD55" i="2"/>
  <c r="V55" i="2"/>
  <c r="N55" i="2"/>
  <c r="F55" i="2"/>
  <c r="AL54" i="2"/>
  <c r="AD54" i="2"/>
  <c r="V54" i="2"/>
  <c r="N54" i="2"/>
  <c r="AP12" i="4"/>
  <c r="AO60" i="3"/>
  <c r="Y54" i="3"/>
  <c r="AB46" i="3"/>
  <c r="X44" i="3"/>
  <c r="AN42" i="3"/>
  <c r="P41" i="3"/>
  <c r="AF39" i="3"/>
  <c r="H38" i="3"/>
  <c r="X36" i="3"/>
  <c r="AO34" i="3"/>
  <c r="I34" i="3"/>
  <c r="Q33" i="3"/>
  <c r="Y32" i="3"/>
  <c r="AG31" i="3"/>
  <c r="AO30" i="3"/>
  <c r="T30" i="3"/>
  <c r="D30" i="3"/>
  <c r="AB27" i="3"/>
  <c r="L27" i="3"/>
  <c r="AJ26" i="3"/>
  <c r="T26" i="3"/>
  <c r="D26" i="3"/>
  <c r="AB25" i="3"/>
  <c r="P25" i="3"/>
  <c r="AP24" i="3"/>
  <c r="AD24" i="3"/>
  <c r="Q24" i="3"/>
  <c r="E24" i="3"/>
  <c r="AK23" i="3"/>
  <c r="AC23" i="3"/>
  <c r="U23" i="3"/>
  <c r="M23" i="3"/>
  <c r="E23" i="3"/>
  <c r="AK22" i="3"/>
  <c r="AC22" i="3"/>
  <c r="U22" i="3"/>
  <c r="M22" i="3"/>
  <c r="E22" i="3"/>
  <c r="AK21" i="3"/>
  <c r="AC21" i="3"/>
  <c r="U21" i="3"/>
  <c r="M21" i="3"/>
  <c r="E21" i="3"/>
  <c r="AK20" i="3"/>
  <c r="AC20" i="3"/>
  <c r="U20" i="3"/>
  <c r="M20" i="3"/>
  <c r="E20" i="3"/>
  <c r="AK19" i="3"/>
  <c r="AC19" i="3"/>
  <c r="U19" i="3"/>
  <c r="M19" i="3"/>
  <c r="E19" i="3"/>
  <c r="AK18" i="3"/>
  <c r="AC18" i="3"/>
  <c r="U18" i="3"/>
  <c r="M18" i="3"/>
  <c r="E18" i="3"/>
  <c r="AK17" i="3"/>
  <c r="AC17" i="3"/>
  <c r="U17" i="3"/>
  <c r="M17" i="3"/>
  <c r="E17" i="3"/>
  <c r="AK16" i="3"/>
  <c r="AC16" i="3"/>
  <c r="U16" i="3"/>
  <c r="M16" i="3"/>
  <c r="E16" i="3"/>
  <c r="AK15" i="3"/>
  <c r="AC15" i="3"/>
  <c r="U15" i="3"/>
  <c r="M15" i="3"/>
  <c r="E15" i="3"/>
  <c r="AK14" i="3"/>
  <c r="AC14" i="3"/>
  <c r="U14" i="3"/>
  <c r="M14" i="3"/>
  <c r="E14" i="3"/>
  <c r="AK13" i="3"/>
  <c r="AC13" i="3"/>
  <c r="U13" i="3"/>
  <c r="M13" i="3"/>
  <c r="E13" i="3"/>
  <c r="AK12" i="3"/>
  <c r="AC12" i="3"/>
  <c r="U12" i="3"/>
  <c r="M12" i="3"/>
  <c r="E12" i="3"/>
  <c r="AK11" i="3"/>
  <c r="AC11" i="3"/>
  <c r="U11" i="3"/>
  <c r="M11" i="3"/>
  <c r="E11" i="3"/>
  <c r="AK10" i="3"/>
  <c r="AC10" i="3"/>
  <c r="U10" i="3"/>
  <c r="M10" i="3"/>
  <c r="E10" i="3"/>
  <c r="AK9" i="3"/>
  <c r="AC9" i="3"/>
  <c r="U9" i="3"/>
  <c r="M9" i="3"/>
  <c r="E9" i="3"/>
  <c r="AK8" i="3"/>
  <c r="AC8" i="3"/>
  <c r="S10" i="4"/>
  <c r="I60" i="3"/>
  <c r="AG53" i="3"/>
  <c r="L46" i="3"/>
  <c r="P44" i="3"/>
  <c r="AF42" i="3"/>
  <c r="H41" i="3"/>
  <c r="X39" i="3"/>
  <c r="AN37" i="3"/>
  <c r="P36" i="3"/>
  <c r="AN34" i="3"/>
  <c r="H34" i="3"/>
  <c r="P33" i="3"/>
  <c r="X32" i="3"/>
  <c r="AF31" i="3"/>
  <c r="AN30" i="3"/>
  <c r="Q30" i="3"/>
  <c r="AO27" i="3"/>
  <c r="Y27" i="3"/>
  <c r="I27" i="3"/>
  <c r="AG26" i="3"/>
  <c r="Q26" i="3"/>
  <c r="AO25" i="3"/>
  <c r="Z25" i="3"/>
  <c r="N25" i="3"/>
  <c r="AO24" i="3"/>
  <c r="AB24" i="3"/>
  <c r="P24" i="3"/>
  <c r="D24" i="3"/>
  <c r="AJ23" i="3"/>
  <c r="AB23" i="3"/>
  <c r="T23" i="3"/>
  <c r="L23" i="3"/>
  <c r="D23" i="3"/>
  <c r="AJ22" i="3"/>
  <c r="AB22" i="3"/>
  <c r="T22" i="3"/>
  <c r="L22" i="3"/>
  <c r="D22" i="3"/>
  <c r="AJ21" i="3"/>
  <c r="AB21" i="3"/>
  <c r="T21" i="3"/>
  <c r="L21" i="3"/>
  <c r="D21" i="3"/>
  <c r="AJ20" i="3"/>
  <c r="AB20" i="3"/>
  <c r="T20" i="3"/>
  <c r="L20" i="3"/>
  <c r="D20" i="3"/>
  <c r="AJ19" i="3"/>
  <c r="AB19" i="3"/>
  <c r="T19" i="3"/>
  <c r="L19" i="3"/>
  <c r="D19" i="3"/>
  <c r="AJ18" i="3"/>
  <c r="AB18" i="3"/>
  <c r="T18" i="3"/>
  <c r="L18" i="3"/>
  <c r="D18" i="3"/>
  <c r="AJ17" i="3"/>
  <c r="AB17" i="3"/>
  <c r="T17" i="3"/>
  <c r="L17" i="3"/>
  <c r="D17" i="3"/>
  <c r="AJ16" i="3"/>
  <c r="AB16" i="3"/>
  <c r="T16" i="3"/>
  <c r="L16" i="3"/>
  <c r="D16" i="3"/>
  <c r="AJ15" i="3"/>
  <c r="AB15" i="3"/>
  <c r="T15" i="3"/>
  <c r="L15" i="3"/>
  <c r="D15" i="3"/>
  <c r="AJ14" i="3"/>
  <c r="AB14" i="3"/>
  <c r="T14" i="3"/>
  <c r="L14" i="3"/>
  <c r="D14" i="3"/>
  <c r="AJ13" i="3"/>
  <c r="AB13" i="3"/>
  <c r="T13" i="3"/>
  <c r="L13" i="3"/>
  <c r="D13" i="3"/>
  <c r="AJ12" i="3"/>
  <c r="AB12" i="3"/>
  <c r="T12" i="3"/>
  <c r="L12" i="3"/>
  <c r="D12" i="3"/>
  <c r="AJ11" i="3"/>
  <c r="AB11" i="3"/>
  <c r="T11" i="3"/>
  <c r="L11" i="3"/>
  <c r="D11" i="3"/>
  <c r="AJ10" i="3"/>
  <c r="AB10" i="3"/>
  <c r="T10" i="3"/>
  <c r="L10" i="3"/>
  <c r="D10" i="3"/>
  <c r="AJ9" i="3"/>
  <c r="AB9" i="3"/>
  <c r="T9" i="3"/>
  <c r="L9" i="3"/>
  <c r="D9" i="3"/>
  <c r="AJ8" i="3"/>
  <c r="AB8" i="3"/>
  <c r="T8" i="3"/>
  <c r="L8" i="3"/>
  <c r="D8" i="3"/>
  <c r="AJ7" i="3"/>
  <c r="AB7" i="3"/>
  <c r="T7" i="3"/>
  <c r="L7" i="3"/>
  <c r="D7" i="3"/>
  <c r="AJ56" i="2"/>
  <c r="AB56" i="2"/>
  <c r="T56" i="2"/>
  <c r="L56" i="2"/>
  <c r="D56" i="2"/>
  <c r="AJ55" i="2"/>
  <c r="AB55" i="2"/>
  <c r="T55" i="2"/>
  <c r="L55" i="2"/>
  <c r="D55" i="2"/>
  <c r="AJ54" i="2"/>
  <c r="AB54" i="2"/>
  <c r="T54" i="2"/>
  <c r="AK7" i="4"/>
  <c r="Q59" i="3"/>
  <c r="AO49" i="3"/>
  <c r="AJ45" i="3"/>
  <c r="H44" i="3"/>
  <c r="X42" i="3"/>
  <c r="AN40" i="3"/>
  <c r="P39" i="3"/>
  <c r="AF37" i="3"/>
  <c r="H36" i="3"/>
  <c r="AG34" i="3"/>
  <c r="AO33" i="3"/>
  <c r="I33" i="3"/>
  <c r="Q32" i="3"/>
  <c r="Y31" i="3"/>
  <c r="AG30" i="3"/>
  <c r="P30" i="3"/>
  <c r="AN27" i="3"/>
  <c r="X27" i="3"/>
  <c r="H27" i="3"/>
  <c r="AF26" i="3"/>
  <c r="P26" i="3"/>
  <c r="AN25" i="3"/>
  <c r="Y25" i="3"/>
  <c r="L25" i="3"/>
  <c r="AN24" i="3"/>
  <c r="Z24" i="3"/>
  <c r="N24" i="3"/>
  <c r="C24" i="3"/>
  <c r="AI23" i="3"/>
  <c r="AA23" i="3"/>
  <c r="S23" i="3"/>
  <c r="K23" i="3"/>
  <c r="C23" i="3"/>
  <c r="AI22" i="3"/>
  <c r="AA22" i="3"/>
  <c r="S22" i="3"/>
  <c r="K22" i="3"/>
  <c r="C22" i="3"/>
  <c r="AI21" i="3"/>
  <c r="AA21" i="3"/>
  <c r="S21" i="3"/>
  <c r="K21" i="3"/>
  <c r="C21" i="3"/>
  <c r="AI20" i="3"/>
  <c r="AA20" i="3"/>
  <c r="S20" i="3"/>
  <c r="K20" i="3"/>
  <c r="C20" i="3"/>
  <c r="AI19" i="3"/>
  <c r="AA19" i="3"/>
  <c r="S19" i="3"/>
  <c r="K19" i="3"/>
  <c r="C19" i="3"/>
  <c r="AI18" i="3"/>
  <c r="AA18" i="3"/>
  <c r="S18" i="3"/>
  <c r="K18" i="3"/>
  <c r="C18" i="3"/>
  <c r="AI17" i="3"/>
  <c r="AA17" i="3"/>
  <c r="S17" i="3"/>
  <c r="K17" i="3"/>
  <c r="C17" i="3"/>
  <c r="AI16" i="3"/>
  <c r="AA16" i="3"/>
  <c r="S16" i="3"/>
  <c r="K16" i="3"/>
  <c r="C16" i="3"/>
  <c r="AI15" i="3"/>
  <c r="AA15" i="3"/>
  <c r="S15" i="3"/>
  <c r="K15" i="3"/>
  <c r="C15" i="3"/>
  <c r="AI14" i="3"/>
  <c r="AA14" i="3"/>
  <c r="S14" i="3"/>
  <c r="K14" i="3"/>
  <c r="C14" i="3"/>
  <c r="AI13" i="3"/>
  <c r="AA13" i="3"/>
  <c r="S13" i="3"/>
  <c r="K13" i="3"/>
  <c r="C13" i="3"/>
  <c r="AI12" i="3"/>
  <c r="AA12" i="3"/>
  <c r="S12" i="3"/>
  <c r="K12" i="3"/>
  <c r="C12" i="3"/>
  <c r="AI11" i="3"/>
  <c r="AA11" i="3"/>
  <c r="S11" i="3"/>
  <c r="K11" i="3"/>
  <c r="C11" i="3"/>
  <c r="AI10" i="3"/>
  <c r="AA10" i="3"/>
  <c r="S10" i="3"/>
  <c r="K10" i="3"/>
  <c r="C10" i="3"/>
  <c r="AI9" i="3"/>
  <c r="AA9" i="3"/>
  <c r="S9" i="3"/>
  <c r="K9" i="3"/>
  <c r="C9" i="3"/>
  <c r="AI8" i="3"/>
  <c r="AA8" i="3"/>
  <c r="S8" i="3"/>
  <c r="K8" i="3"/>
  <c r="C8" i="3"/>
  <c r="AI7" i="3"/>
  <c r="AA7" i="3"/>
  <c r="S7" i="3"/>
  <c r="K7" i="3"/>
  <c r="C7" i="3"/>
  <c r="AI56" i="2"/>
  <c r="AA56" i="2"/>
  <c r="S56" i="2"/>
  <c r="K56" i="2"/>
  <c r="C56" i="2"/>
  <c r="AI55" i="2"/>
  <c r="AA55" i="2"/>
  <c r="S55" i="2"/>
  <c r="K55" i="2"/>
  <c r="C55" i="2"/>
  <c r="AI54" i="2"/>
  <c r="AA54" i="2"/>
  <c r="S54" i="2"/>
  <c r="K54" i="2"/>
  <c r="C65" i="3"/>
  <c r="Y58" i="3"/>
  <c r="I49" i="3"/>
  <c r="X45" i="3"/>
  <c r="AN43" i="3"/>
  <c r="P42" i="3"/>
  <c r="AF40" i="3"/>
  <c r="H39" i="3"/>
  <c r="X37" i="3"/>
  <c r="AN35" i="3"/>
  <c r="AF34" i="3"/>
  <c r="AN33" i="3"/>
  <c r="H33" i="3"/>
  <c r="P32" i="3"/>
  <c r="X31" i="3"/>
  <c r="AF30" i="3"/>
  <c r="N30" i="3"/>
  <c r="AL27" i="3"/>
  <c r="V27" i="3"/>
  <c r="F27" i="3"/>
  <c r="AD26" i="3"/>
  <c r="N26" i="3"/>
  <c r="AL25" i="3"/>
  <c r="X25" i="3"/>
  <c r="J25" i="3"/>
  <c r="AL24" i="3"/>
  <c r="Y24" i="3"/>
  <c r="L24" i="3"/>
  <c r="AP23" i="3"/>
  <c r="AH23" i="3"/>
  <c r="Z23" i="3"/>
  <c r="R23" i="3"/>
  <c r="J23" i="3"/>
  <c r="AP22" i="3"/>
  <c r="AH22" i="3"/>
  <c r="Z22" i="3"/>
  <c r="R22" i="3"/>
  <c r="J22" i="3"/>
  <c r="Q63" i="3"/>
  <c r="AO56" i="3"/>
  <c r="AJ47" i="3"/>
  <c r="H45" i="3"/>
  <c r="X43" i="3"/>
  <c r="AN41" i="3"/>
  <c r="P40" i="3"/>
  <c r="AF38" i="3"/>
  <c r="H37" i="3"/>
  <c r="X35" i="3"/>
  <c r="X34" i="3"/>
  <c r="AF33" i="3"/>
  <c r="AN32" i="3"/>
  <c r="H32" i="3"/>
  <c r="P31" i="3"/>
  <c r="Y30" i="3"/>
  <c r="I30" i="3"/>
  <c r="AG27" i="3"/>
  <c r="Q27" i="3"/>
  <c r="AO26" i="3"/>
  <c r="Y26" i="3"/>
  <c r="I26" i="3"/>
  <c r="AG25" i="3"/>
  <c r="T25" i="3"/>
  <c r="H25" i="3"/>
  <c r="AH24" i="3"/>
  <c r="V24" i="3"/>
  <c r="I24" i="3"/>
  <c r="AN23" i="3"/>
  <c r="AF23" i="3"/>
  <c r="X23" i="3"/>
  <c r="P23" i="3"/>
  <c r="H23" i="3"/>
  <c r="AN22" i="3"/>
  <c r="AF22" i="3"/>
  <c r="X22" i="3"/>
  <c r="P22" i="3"/>
  <c r="H22" i="3"/>
  <c r="AN21" i="3"/>
  <c r="AF21" i="3"/>
  <c r="X21" i="3"/>
  <c r="P21" i="3"/>
  <c r="H21" i="3"/>
  <c r="AN20" i="3"/>
  <c r="AF20" i="3"/>
  <c r="X20" i="3"/>
  <c r="P20" i="3"/>
  <c r="H20" i="3"/>
  <c r="AN19" i="3"/>
  <c r="AF19" i="3"/>
  <c r="X19" i="3"/>
  <c r="P19" i="3"/>
  <c r="H19" i="3"/>
  <c r="AN18" i="3"/>
  <c r="AF18" i="3"/>
  <c r="X18" i="3"/>
  <c r="P18" i="3"/>
  <c r="H18" i="3"/>
  <c r="AN17" i="3"/>
  <c r="AF17" i="3"/>
  <c r="X17" i="3"/>
  <c r="P17" i="3"/>
  <c r="H17" i="3"/>
  <c r="AN16" i="3"/>
  <c r="AF16" i="3"/>
  <c r="X16" i="3"/>
  <c r="P16" i="3"/>
  <c r="H16" i="3"/>
  <c r="AN15" i="3"/>
  <c r="AF15" i="3"/>
  <c r="X15" i="3"/>
  <c r="P15" i="3"/>
  <c r="H15" i="3"/>
  <c r="AN14" i="3"/>
  <c r="AF14" i="3"/>
  <c r="X14" i="3"/>
  <c r="P14" i="3"/>
  <c r="H14" i="3"/>
  <c r="AN13" i="3"/>
  <c r="AF13" i="3"/>
  <c r="X13" i="3"/>
  <c r="P13" i="3"/>
  <c r="H13" i="3"/>
  <c r="AN12" i="3"/>
  <c r="AF12" i="3"/>
  <c r="X12" i="3"/>
  <c r="P12" i="3"/>
  <c r="H12" i="3"/>
  <c r="AN11" i="3"/>
  <c r="AF11" i="3"/>
  <c r="X11" i="3"/>
  <c r="P11" i="3"/>
  <c r="H11" i="3"/>
  <c r="AN10" i="3"/>
  <c r="AF10" i="3"/>
  <c r="X10" i="3"/>
  <c r="P10" i="3"/>
  <c r="H10" i="3"/>
  <c r="AN9" i="3"/>
  <c r="AF9" i="3"/>
  <c r="X9" i="3"/>
  <c r="P9" i="3"/>
  <c r="H9" i="3"/>
  <c r="AN8" i="3"/>
  <c r="AF8" i="3"/>
  <c r="X8" i="3"/>
  <c r="P8" i="3"/>
  <c r="H8" i="3"/>
  <c r="AN7" i="3"/>
  <c r="AF7" i="3"/>
  <c r="X7" i="3"/>
  <c r="P7" i="3"/>
  <c r="H7" i="3"/>
  <c r="AN56" i="2"/>
  <c r="AF56" i="2"/>
  <c r="X56" i="2"/>
  <c r="P56" i="2"/>
  <c r="H56" i="2"/>
  <c r="AN55" i="2"/>
  <c r="AF55" i="2"/>
  <c r="X55" i="2"/>
  <c r="P55" i="2"/>
  <c r="H55" i="2"/>
  <c r="AN54" i="2"/>
  <c r="AF54" i="2"/>
  <c r="X54" i="2"/>
  <c r="P54" i="2"/>
  <c r="I64" i="3"/>
  <c r="P37" i="3"/>
  <c r="L30" i="3"/>
  <c r="I25" i="3"/>
  <c r="I23" i="3"/>
  <c r="AH21" i="3"/>
  <c r="AP20" i="3"/>
  <c r="J20" i="3"/>
  <c r="R19" i="3"/>
  <c r="Z18" i="3"/>
  <c r="AH17" i="3"/>
  <c r="AP16" i="3"/>
  <c r="J16" i="3"/>
  <c r="R15" i="3"/>
  <c r="Z14" i="3"/>
  <c r="AH13" i="3"/>
  <c r="AP12" i="3"/>
  <c r="J12" i="3"/>
  <c r="R11" i="3"/>
  <c r="Z10" i="3"/>
  <c r="AH9" i="3"/>
  <c r="AP8" i="3"/>
  <c r="R8" i="3"/>
  <c r="AP7" i="3"/>
  <c r="Z7" i="3"/>
  <c r="J7" i="3"/>
  <c r="AH56" i="2"/>
  <c r="R56" i="2"/>
  <c r="AP55" i="2"/>
  <c r="Z55" i="2"/>
  <c r="J55" i="2"/>
  <c r="AH54" i="2"/>
  <c r="R54" i="2"/>
  <c r="G54" i="2"/>
  <c r="AM53" i="2"/>
  <c r="AE53" i="2"/>
  <c r="W53" i="2"/>
  <c r="O53" i="2"/>
  <c r="G53" i="2"/>
  <c r="AM52" i="2"/>
  <c r="AE52" i="2"/>
  <c r="W52" i="2"/>
  <c r="O52" i="2"/>
  <c r="G52" i="2"/>
  <c r="AM51" i="2"/>
  <c r="AE51" i="2"/>
  <c r="W51" i="2"/>
  <c r="O51" i="2"/>
  <c r="G51" i="2"/>
  <c r="AM50" i="2"/>
  <c r="AE50" i="2"/>
  <c r="W50" i="2"/>
  <c r="O50" i="2"/>
  <c r="G50" i="2"/>
  <c r="AM49" i="2"/>
  <c r="AE49" i="2"/>
  <c r="W49" i="2"/>
  <c r="O49" i="2"/>
  <c r="G49" i="2"/>
  <c r="AM48" i="2"/>
  <c r="AE48" i="2"/>
  <c r="W48" i="2"/>
  <c r="O48" i="2"/>
  <c r="G48" i="2"/>
  <c r="AM47" i="2"/>
  <c r="AE47" i="2"/>
  <c r="W47" i="2"/>
  <c r="O47" i="2"/>
  <c r="G47" i="2"/>
  <c r="AM46" i="2"/>
  <c r="AE46" i="2"/>
  <c r="W46" i="2"/>
  <c r="O46" i="2"/>
  <c r="G46" i="2"/>
  <c r="AM45" i="2"/>
  <c r="AE45" i="2"/>
  <c r="W45" i="2"/>
  <c r="O45" i="2"/>
  <c r="G45" i="2"/>
  <c r="AM41" i="2"/>
  <c r="AE41" i="2"/>
  <c r="W41" i="2"/>
  <c r="O41" i="2"/>
  <c r="G41" i="2"/>
  <c r="AM40" i="2"/>
  <c r="AE40" i="2"/>
  <c r="W40" i="2"/>
  <c r="O40" i="2"/>
  <c r="G40" i="2"/>
  <c r="AM39" i="2"/>
  <c r="AE39" i="2"/>
  <c r="W39" i="2"/>
  <c r="O39" i="2"/>
  <c r="G39" i="2"/>
  <c r="AM38" i="2"/>
  <c r="AE38" i="2"/>
  <c r="W38" i="2"/>
  <c r="O38" i="2"/>
  <c r="G38" i="2"/>
  <c r="AM36" i="2"/>
  <c r="AE36" i="2"/>
  <c r="W36" i="2"/>
  <c r="O36" i="2"/>
  <c r="G36" i="2"/>
  <c r="AM35" i="2"/>
  <c r="AE35" i="2"/>
  <c r="W35" i="2"/>
  <c r="O35" i="2"/>
  <c r="G35" i="2"/>
  <c r="AM34" i="2"/>
  <c r="AE34" i="2"/>
  <c r="W34" i="2"/>
  <c r="O34" i="2"/>
  <c r="G34" i="2"/>
  <c r="AM33" i="2"/>
  <c r="AE33" i="2"/>
  <c r="W33" i="2"/>
  <c r="O33" i="2"/>
  <c r="G33" i="2"/>
  <c r="AM31" i="2"/>
  <c r="AE31" i="2"/>
  <c r="W31" i="2"/>
  <c r="O31" i="2"/>
  <c r="G31" i="2"/>
  <c r="AM30" i="2"/>
  <c r="AE30" i="2"/>
  <c r="W30" i="2"/>
  <c r="O30" i="2"/>
  <c r="G30" i="2"/>
  <c r="AM29" i="2"/>
  <c r="AE29" i="2"/>
  <c r="W29" i="2"/>
  <c r="AG57" i="3"/>
  <c r="AF35" i="3"/>
  <c r="AJ27" i="3"/>
  <c r="AJ24" i="3"/>
  <c r="AO22" i="3"/>
  <c r="AG21" i="3"/>
  <c r="AO20" i="3"/>
  <c r="I20" i="3"/>
  <c r="Q19" i="3"/>
  <c r="Y18" i="3"/>
  <c r="AG17" i="3"/>
  <c r="AO16" i="3"/>
  <c r="I16" i="3"/>
  <c r="Q15" i="3"/>
  <c r="Y14" i="3"/>
  <c r="AG13" i="3"/>
  <c r="AO12" i="3"/>
  <c r="I12" i="3"/>
  <c r="Q11" i="3"/>
  <c r="Y10" i="3"/>
  <c r="AG9" i="3"/>
  <c r="AO8" i="3"/>
  <c r="Q8" i="3"/>
  <c r="AO7" i="3"/>
  <c r="Y7" i="3"/>
  <c r="I7" i="3"/>
  <c r="AG56" i="2"/>
  <c r="Q56" i="2"/>
  <c r="AO55" i="2"/>
  <c r="Y55" i="2"/>
  <c r="I55" i="2"/>
  <c r="AG54" i="2"/>
  <c r="Q54" i="2"/>
  <c r="F54" i="2"/>
  <c r="AL53" i="2"/>
  <c r="AD53" i="2"/>
  <c r="V53" i="2"/>
  <c r="N53" i="2"/>
  <c r="F53" i="2"/>
  <c r="AL52" i="2"/>
  <c r="AD52" i="2"/>
  <c r="V52" i="2"/>
  <c r="N52" i="2"/>
  <c r="F52" i="2"/>
  <c r="AL51" i="2"/>
  <c r="AD51" i="2"/>
  <c r="V51" i="2"/>
  <c r="N51" i="2"/>
  <c r="F51" i="2"/>
  <c r="AL50" i="2"/>
  <c r="AD50" i="2"/>
  <c r="V50" i="2"/>
  <c r="N50" i="2"/>
  <c r="F50" i="2"/>
  <c r="AL49" i="2"/>
  <c r="AD49" i="2"/>
  <c r="V49" i="2"/>
  <c r="N49" i="2"/>
  <c r="F49" i="2"/>
  <c r="AL48" i="2"/>
  <c r="AD48" i="2"/>
  <c r="V48" i="2"/>
  <c r="N48" i="2"/>
  <c r="F48" i="2"/>
  <c r="AL47" i="2"/>
  <c r="AD47" i="2"/>
  <c r="V47" i="2"/>
  <c r="N47" i="2"/>
  <c r="F47" i="2"/>
  <c r="AL46" i="2"/>
  <c r="AD46" i="2"/>
  <c r="V46" i="2"/>
  <c r="N46" i="2"/>
  <c r="F46" i="2"/>
  <c r="AL45" i="2"/>
  <c r="AD45" i="2"/>
  <c r="V45" i="2"/>
  <c r="N45" i="2"/>
  <c r="F45" i="2"/>
  <c r="AL41" i="2"/>
  <c r="AD41" i="2"/>
  <c r="V41" i="2"/>
  <c r="N41" i="2"/>
  <c r="F41" i="2"/>
  <c r="AL40" i="2"/>
  <c r="AD40" i="2"/>
  <c r="V40" i="2"/>
  <c r="N40" i="2"/>
  <c r="F40" i="2"/>
  <c r="AL39" i="2"/>
  <c r="AD39" i="2"/>
  <c r="V39" i="2"/>
  <c r="N39" i="2"/>
  <c r="F39" i="2"/>
  <c r="AL38" i="2"/>
  <c r="AD38" i="2"/>
  <c r="V38" i="2"/>
  <c r="N38" i="2"/>
  <c r="F38" i="2"/>
  <c r="AL36" i="2"/>
  <c r="AD36" i="2"/>
  <c r="V36" i="2"/>
  <c r="N36" i="2"/>
  <c r="F36" i="2"/>
  <c r="AL35" i="2"/>
  <c r="AD35" i="2"/>
  <c r="V35" i="2"/>
  <c r="N35" i="2"/>
  <c r="F35" i="2"/>
  <c r="AL34" i="2"/>
  <c r="AD34" i="2"/>
  <c r="V34" i="2"/>
  <c r="N34" i="2"/>
  <c r="F34" i="2"/>
  <c r="AL33" i="2"/>
  <c r="Q48" i="3"/>
  <c r="Y34" i="3"/>
  <c r="T27" i="3"/>
  <c r="X24" i="3"/>
  <c r="AG22" i="3"/>
  <c r="Z21" i="3"/>
  <c r="AH20" i="3"/>
  <c r="AP19" i="3"/>
  <c r="J19" i="3"/>
  <c r="R18" i="3"/>
  <c r="Z17" i="3"/>
  <c r="AH16" i="3"/>
  <c r="AP15" i="3"/>
  <c r="J15" i="3"/>
  <c r="R14" i="3"/>
  <c r="Z13" i="3"/>
  <c r="AH12" i="3"/>
  <c r="AP11" i="3"/>
  <c r="J11" i="3"/>
  <c r="R10" i="3"/>
  <c r="Z9" i="3"/>
  <c r="AH8" i="3"/>
  <c r="O8" i="3"/>
  <c r="AM7" i="3"/>
  <c r="W7" i="3"/>
  <c r="G7" i="3"/>
  <c r="AE56" i="2"/>
  <c r="O56" i="2"/>
  <c r="AM55" i="2"/>
  <c r="W55" i="2"/>
  <c r="G55" i="2"/>
  <c r="AE54" i="2"/>
  <c r="O54" i="2"/>
  <c r="E54" i="2"/>
  <c r="AK53" i="2"/>
  <c r="AC53" i="2"/>
  <c r="U53" i="2"/>
  <c r="M53" i="2"/>
  <c r="E53" i="2"/>
  <c r="AK52" i="2"/>
  <c r="AC52" i="2"/>
  <c r="U52" i="2"/>
  <c r="M52" i="2"/>
  <c r="E52" i="2"/>
  <c r="AK51" i="2"/>
  <c r="AC51" i="2"/>
  <c r="U51" i="2"/>
  <c r="M51" i="2"/>
  <c r="E51" i="2"/>
  <c r="AK50" i="2"/>
  <c r="AC50" i="2"/>
  <c r="U50" i="2"/>
  <c r="M50" i="2"/>
  <c r="E50" i="2"/>
  <c r="AK49" i="2"/>
  <c r="AC49" i="2"/>
  <c r="U49" i="2"/>
  <c r="M49" i="2"/>
  <c r="E49" i="2"/>
  <c r="AK48" i="2"/>
  <c r="AC48" i="2"/>
  <c r="U48" i="2"/>
  <c r="M48" i="2"/>
  <c r="E48" i="2"/>
  <c r="AK47" i="2"/>
  <c r="AC47" i="2"/>
  <c r="U47" i="2"/>
  <c r="M47" i="2"/>
  <c r="E47" i="2"/>
  <c r="AK46" i="2"/>
  <c r="AC46" i="2"/>
  <c r="U46" i="2"/>
  <c r="M46" i="2"/>
  <c r="E46" i="2"/>
  <c r="AK45" i="2"/>
  <c r="AC45" i="2"/>
  <c r="U45" i="2"/>
  <c r="M45" i="2"/>
  <c r="E45" i="2"/>
  <c r="AK41" i="2"/>
  <c r="AC41" i="2"/>
  <c r="U41" i="2"/>
  <c r="M41" i="2"/>
  <c r="E41" i="2"/>
  <c r="AK40" i="2"/>
  <c r="AC40" i="2"/>
  <c r="U40" i="2"/>
  <c r="M40" i="2"/>
  <c r="E40" i="2"/>
  <c r="AK39" i="2"/>
  <c r="AC39" i="2"/>
  <c r="U39" i="2"/>
  <c r="M39" i="2"/>
  <c r="E39" i="2"/>
  <c r="AK38" i="2"/>
  <c r="AC38" i="2"/>
  <c r="U38" i="2"/>
  <c r="M38" i="2"/>
  <c r="E38" i="2"/>
  <c r="AK36" i="2"/>
  <c r="AC36" i="2"/>
  <c r="U36" i="2"/>
  <c r="M36" i="2"/>
  <c r="E36" i="2"/>
  <c r="AK35" i="2"/>
  <c r="AC35" i="2"/>
  <c r="U35" i="2"/>
  <c r="M35" i="2"/>
  <c r="E35" i="2"/>
  <c r="AK34" i="2"/>
  <c r="AC34" i="2"/>
  <c r="U34" i="2"/>
  <c r="M34" i="2"/>
  <c r="E34" i="2"/>
  <c r="AK33" i="2"/>
  <c r="AC33" i="2"/>
  <c r="U33" i="2"/>
  <c r="M33" i="2"/>
  <c r="E33" i="2"/>
  <c r="AK31" i="2"/>
  <c r="AC31" i="2"/>
  <c r="U31" i="2"/>
  <c r="M31" i="2"/>
  <c r="E31" i="2"/>
  <c r="AK30" i="2"/>
  <c r="AC30" i="2"/>
  <c r="U30" i="2"/>
  <c r="P45" i="3"/>
  <c r="AG33" i="3"/>
  <c r="D27" i="3"/>
  <c r="J24" i="3"/>
  <c r="Y22" i="3"/>
  <c r="Y21" i="3"/>
  <c r="AG20" i="3"/>
  <c r="AO19" i="3"/>
  <c r="I19" i="3"/>
  <c r="Q18" i="3"/>
  <c r="Y17" i="3"/>
  <c r="AG16" i="3"/>
  <c r="AO15" i="3"/>
  <c r="I15" i="3"/>
  <c r="Q14" i="3"/>
  <c r="Y13" i="3"/>
  <c r="AG12" i="3"/>
  <c r="AO11" i="3"/>
  <c r="I11" i="3"/>
  <c r="Q10" i="3"/>
  <c r="Y9" i="3"/>
  <c r="AG8" i="3"/>
  <c r="M8" i="3"/>
  <c r="AK7" i="3"/>
  <c r="U7" i="3"/>
  <c r="E7" i="3"/>
  <c r="AC56" i="2"/>
  <c r="M56" i="2"/>
  <c r="AK55" i="2"/>
  <c r="U55" i="2"/>
  <c r="E55" i="2"/>
  <c r="AC54" i="2"/>
  <c r="M54" i="2"/>
  <c r="D54" i="2"/>
  <c r="AJ53" i="2"/>
  <c r="AB53" i="2"/>
  <c r="T53" i="2"/>
  <c r="L53" i="2"/>
  <c r="D53" i="2"/>
  <c r="AJ52" i="2"/>
  <c r="AB52" i="2"/>
  <c r="T52" i="2"/>
  <c r="L52" i="2"/>
  <c r="D52" i="2"/>
  <c r="AJ51" i="2"/>
  <c r="AB51" i="2"/>
  <c r="T51" i="2"/>
  <c r="L51" i="2"/>
  <c r="D51" i="2"/>
  <c r="AJ50" i="2"/>
  <c r="AB50" i="2"/>
  <c r="T50" i="2"/>
  <c r="L50" i="2"/>
  <c r="D50" i="2"/>
  <c r="AJ49" i="2"/>
  <c r="AB49" i="2"/>
  <c r="T49" i="2"/>
  <c r="L49" i="2"/>
  <c r="D49" i="2"/>
  <c r="AJ48" i="2"/>
  <c r="AB48" i="2"/>
  <c r="T48" i="2"/>
  <c r="L48" i="2"/>
  <c r="D48" i="2"/>
  <c r="AJ47" i="2"/>
  <c r="AB47" i="2"/>
  <c r="T47" i="2"/>
  <c r="L47" i="2"/>
  <c r="D47" i="2"/>
  <c r="AJ46" i="2"/>
  <c r="AB46" i="2"/>
  <c r="T46" i="2"/>
  <c r="L46" i="2"/>
  <c r="D46" i="2"/>
  <c r="AJ45" i="2"/>
  <c r="AB45" i="2"/>
  <c r="T45" i="2"/>
  <c r="L45" i="2"/>
  <c r="D45" i="2"/>
  <c r="AJ41" i="2"/>
  <c r="AB41" i="2"/>
  <c r="T41" i="2"/>
  <c r="L41" i="2"/>
  <c r="D41" i="2"/>
  <c r="AJ40" i="2"/>
  <c r="AB40" i="2"/>
  <c r="T40" i="2"/>
  <c r="L40" i="2"/>
  <c r="D40" i="2"/>
  <c r="AJ39" i="2"/>
  <c r="AB39" i="2"/>
  <c r="T39" i="2"/>
  <c r="L39" i="2"/>
  <c r="D39" i="2"/>
  <c r="AJ38" i="2"/>
  <c r="AB38" i="2"/>
  <c r="T38" i="2"/>
  <c r="L38" i="2"/>
  <c r="D38" i="2"/>
  <c r="AJ36" i="2"/>
  <c r="AB36" i="2"/>
  <c r="T36" i="2"/>
  <c r="L36" i="2"/>
  <c r="D36" i="2"/>
  <c r="AJ35" i="2"/>
  <c r="AB35" i="2"/>
  <c r="T35" i="2"/>
  <c r="L35" i="2"/>
  <c r="D35" i="2"/>
  <c r="AJ34" i="2"/>
  <c r="AB34" i="2"/>
  <c r="T34" i="2"/>
  <c r="L34" i="2"/>
  <c r="D34" i="2"/>
  <c r="AJ33" i="2"/>
  <c r="AB33" i="2"/>
  <c r="T33" i="2"/>
  <c r="L33" i="2"/>
  <c r="D33" i="2"/>
  <c r="AJ31" i="2"/>
  <c r="AB31" i="2"/>
  <c r="T31" i="2"/>
  <c r="L31" i="2"/>
  <c r="D31" i="2"/>
  <c r="AJ30" i="2"/>
  <c r="AB30" i="2"/>
  <c r="T30" i="2"/>
  <c r="L30" i="2"/>
  <c r="D30" i="2"/>
  <c r="AJ29" i="2"/>
  <c r="AB29" i="2"/>
  <c r="T29" i="2"/>
  <c r="L29" i="2"/>
  <c r="D29" i="2"/>
  <c r="AJ27" i="2"/>
  <c r="AB27" i="2"/>
  <c r="T27" i="2"/>
  <c r="L27" i="2"/>
  <c r="D27" i="2"/>
  <c r="AJ26" i="2"/>
  <c r="AB26" i="2"/>
  <c r="T26" i="2"/>
  <c r="L26" i="2"/>
  <c r="D26" i="2"/>
  <c r="AJ25" i="2"/>
  <c r="AB25" i="2"/>
  <c r="T25" i="2"/>
  <c r="AF43" i="3"/>
  <c r="AO32" i="3"/>
  <c r="AB26" i="3"/>
  <c r="AO23" i="3"/>
  <c r="Q22" i="3"/>
  <c r="R21" i="3"/>
  <c r="Z20" i="3"/>
  <c r="AH19" i="3"/>
  <c r="AP18" i="3"/>
  <c r="J18" i="3"/>
  <c r="R17" i="3"/>
  <c r="Z16" i="3"/>
  <c r="AH15" i="3"/>
  <c r="AP14" i="3"/>
  <c r="J14" i="3"/>
  <c r="R13" i="3"/>
  <c r="Z12" i="3"/>
  <c r="AH11" i="3"/>
  <c r="AP10" i="3"/>
  <c r="J10" i="3"/>
  <c r="R9" i="3"/>
  <c r="Z8" i="3"/>
  <c r="J8" i="3"/>
  <c r="AH7" i="3"/>
  <c r="R7" i="3"/>
  <c r="AP56" i="2"/>
  <c r="Z56" i="2"/>
  <c r="J56" i="2"/>
  <c r="AH55" i="2"/>
  <c r="R55" i="2"/>
  <c r="AP54" i="2"/>
  <c r="Z54" i="2"/>
  <c r="L54" i="2"/>
  <c r="C54" i="2"/>
  <c r="AI53" i="2"/>
  <c r="AA53" i="2"/>
  <c r="S53" i="2"/>
  <c r="K53" i="2"/>
  <c r="C53" i="2"/>
  <c r="AI52" i="2"/>
  <c r="AA52" i="2"/>
  <c r="S52" i="2"/>
  <c r="K52" i="2"/>
  <c r="C52" i="2"/>
  <c r="AI51" i="2"/>
  <c r="AA51" i="2"/>
  <c r="S51" i="2"/>
  <c r="K51" i="2"/>
  <c r="C51" i="2"/>
  <c r="AI50" i="2"/>
  <c r="AA50" i="2"/>
  <c r="S50" i="2"/>
  <c r="K50" i="2"/>
  <c r="C50" i="2"/>
  <c r="AI49" i="2"/>
  <c r="AA49" i="2"/>
  <c r="S49" i="2"/>
  <c r="K49" i="2"/>
  <c r="C49" i="2"/>
  <c r="AI48" i="2"/>
  <c r="AA48" i="2"/>
  <c r="S48" i="2"/>
  <c r="K48" i="2"/>
  <c r="C48" i="2"/>
  <c r="AI47" i="2"/>
  <c r="AA47" i="2"/>
  <c r="S47" i="2"/>
  <c r="K47" i="2"/>
  <c r="C47" i="2"/>
  <c r="AI46" i="2"/>
  <c r="AA46" i="2"/>
  <c r="S46" i="2"/>
  <c r="K46" i="2"/>
  <c r="C46" i="2"/>
  <c r="AI45" i="2"/>
  <c r="AA45" i="2"/>
  <c r="S45" i="2"/>
  <c r="K45" i="2"/>
  <c r="C45" i="2"/>
  <c r="AI41" i="2"/>
  <c r="AA41" i="2"/>
  <c r="S41" i="2"/>
  <c r="K41" i="2"/>
  <c r="C41" i="2"/>
  <c r="AI40" i="2"/>
  <c r="AA40" i="2"/>
  <c r="H42" i="3"/>
  <c r="I32" i="3"/>
  <c r="L26" i="3"/>
  <c r="AG23" i="3"/>
  <c r="I22" i="3"/>
  <c r="Q21" i="3"/>
  <c r="Y20" i="3"/>
  <c r="AG19" i="3"/>
  <c r="AO18" i="3"/>
  <c r="I18" i="3"/>
  <c r="Q17" i="3"/>
  <c r="Y16" i="3"/>
  <c r="AG15" i="3"/>
  <c r="AO14" i="3"/>
  <c r="I14" i="3"/>
  <c r="Q13" i="3"/>
  <c r="Y12" i="3"/>
  <c r="AG11" i="3"/>
  <c r="AO10" i="3"/>
  <c r="I10" i="3"/>
  <c r="Q9" i="3"/>
  <c r="Y8" i="3"/>
  <c r="I8" i="3"/>
  <c r="AG7" i="3"/>
  <c r="Q7" i="3"/>
  <c r="AO56" i="2"/>
  <c r="Y56" i="2"/>
  <c r="I56" i="2"/>
  <c r="AG55" i="2"/>
  <c r="Q55" i="2"/>
  <c r="AO54" i="2"/>
  <c r="Y54" i="2"/>
  <c r="J54" i="2"/>
  <c r="AP53" i="2"/>
  <c r="AH53" i="2"/>
  <c r="Z53" i="2"/>
  <c r="R53" i="2"/>
  <c r="J53" i="2"/>
  <c r="AP52" i="2"/>
  <c r="AH52" i="2"/>
  <c r="Z52" i="2"/>
  <c r="R52" i="2"/>
  <c r="J52" i="2"/>
  <c r="AP51" i="2"/>
  <c r="AH51" i="2"/>
  <c r="Z51" i="2"/>
  <c r="R51" i="2"/>
  <c r="J51" i="2"/>
  <c r="AP50" i="2"/>
  <c r="AH50" i="2"/>
  <c r="Z50" i="2"/>
  <c r="R50" i="2"/>
  <c r="J50" i="2"/>
  <c r="AP49" i="2"/>
  <c r="AH49" i="2"/>
  <c r="Z49" i="2"/>
  <c r="R49" i="2"/>
  <c r="J49" i="2"/>
  <c r="AP48" i="2"/>
  <c r="AH48" i="2"/>
  <c r="Z48" i="2"/>
  <c r="R48" i="2"/>
  <c r="J48" i="2"/>
  <c r="AP47" i="2"/>
  <c r="AH47" i="2"/>
  <c r="Z47" i="2"/>
  <c r="R47" i="2"/>
  <c r="J47" i="2"/>
  <c r="AP46" i="2"/>
  <c r="AH46" i="2"/>
  <c r="Z46" i="2"/>
  <c r="R46" i="2"/>
  <c r="J46" i="2"/>
  <c r="AP45" i="2"/>
  <c r="AH45" i="2"/>
  <c r="Z45" i="2"/>
  <c r="R45" i="2"/>
  <c r="J45" i="2"/>
  <c r="AP41" i="2"/>
  <c r="AH41" i="2"/>
  <c r="Z41" i="2"/>
  <c r="X40" i="3"/>
  <c r="Q31" i="3"/>
  <c r="AJ25" i="3"/>
  <c r="Y23" i="3"/>
  <c r="AP21" i="3"/>
  <c r="J21" i="3"/>
  <c r="R20" i="3"/>
  <c r="Z19" i="3"/>
  <c r="AH18" i="3"/>
  <c r="AP17" i="3"/>
  <c r="J17" i="3"/>
  <c r="R16" i="3"/>
  <c r="Z15" i="3"/>
  <c r="AH14" i="3"/>
  <c r="AP13" i="3"/>
  <c r="J13" i="3"/>
  <c r="R12" i="3"/>
  <c r="Z11" i="3"/>
  <c r="AH10" i="3"/>
  <c r="AP9" i="3"/>
  <c r="J9" i="3"/>
  <c r="W8" i="3"/>
  <c r="G8" i="3"/>
  <c r="AE7" i="3"/>
  <c r="O7" i="3"/>
  <c r="AM56" i="2"/>
  <c r="W56" i="2"/>
  <c r="G56" i="2"/>
  <c r="AE55" i="2"/>
  <c r="O55" i="2"/>
  <c r="AM54" i="2"/>
  <c r="W54" i="2"/>
  <c r="I54" i="2"/>
  <c r="AO53" i="2"/>
  <c r="AG53" i="2"/>
  <c r="Y53" i="2"/>
  <c r="Q53" i="2"/>
  <c r="I53" i="2"/>
  <c r="AO52" i="2"/>
  <c r="AG52" i="2"/>
  <c r="Y52" i="2"/>
  <c r="Q52" i="2"/>
  <c r="I52" i="2"/>
  <c r="AO51" i="2"/>
  <c r="AG51" i="2"/>
  <c r="Y51" i="2"/>
  <c r="Q51" i="2"/>
  <c r="I51" i="2"/>
  <c r="AO50" i="2"/>
  <c r="AG50" i="2"/>
  <c r="Y50" i="2"/>
  <c r="Q50" i="2"/>
  <c r="I50" i="2"/>
  <c r="AO49" i="2"/>
  <c r="AG49" i="2"/>
  <c r="Y49" i="2"/>
  <c r="Q49" i="2"/>
  <c r="I49" i="2"/>
  <c r="AO48" i="2"/>
  <c r="AG48" i="2"/>
  <c r="Y48" i="2"/>
  <c r="Q48" i="2"/>
  <c r="I48" i="2"/>
  <c r="AO47" i="2"/>
  <c r="AG47" i="2"/>
  <c r="Y47" i="2"/>
  <c r="Q47" i="2"/>
  <c r="I47" i="2"/>
  <c r="AO46" i="2"/>
  <c r="AG46" i="2"/>
  <c r="Y46" i="2"/>
  <c r="Q46" i="2"/>
  <c r="I46" i="2"/>
  <c r="AO45" i="2"/>
  <c r="AG45" i="2"/>
  <c r="Y45" i="2"/>
  <c r="Q45" i="2"/>
  <c r="I45" i="2"/>
  <c r="AO41" i="2"/>
  <c r="AG41" i="2"/>
  <c r="Y41" i="2"/>
  <c r="Q41" i="2"/>
  <c r="I41" i="2"/>
  <c r="AO40" i="2"/>
  <c r="AG40" i="2"/>
  <c r="Y40" i="2"/>
  <c r="Q40" i="2"/>
  <c r="I40" i="2"/>
  <c r="AO39" i="2"/>
  <c r="AG39" i="2"/>
  <c r="Y39" i="2"/>
  <c r="Q39" i="2"/>
  <c r="I39" i="2"/>
  <c r="AO38" i="2"/>
  <c r="AG38" i="2"/>
  <c r="Y38" i="2"/>
  <c r="Q38" i="2"/>
  <c r="I38" i="2"/>
  <c r="AO36" i="2"/>
  <c r="AG36" i="2"/>
  <c r="Y36" i="2"/>
  <c r="Q36" i="2"/>
  <c r="I36" i="2"/>
  <c r="AO35" i="2"/>
  <c r="AG35" i="2"/>
  <c r="Y35" i="2"/>
  <c r="Q35" i="2"/>
  <c r="I35" i="2"/>
  <c r="AO34" i="2"/>
  <c r="AG34" i="2"/>
  <c r="Y34" i="2"/>
  <c r="Q34" i="2"/>
  <c r="AN38" i="3"/>
  <c r="AG18" i="3"/>
  <c r="Q12" i="3"/>
  <c r="M7" i="3"/>
  <c r="H54" i="2"/>
  <c r="X52" i="2"/>
  <c r="AN50" i="2"/>
  <c r="P49" i="2"/>
  <c r="AF47" i="2"/>
  <c r="H46" i="2"/>
  <c r="X41" i="2"/>
  <c r="AF40" i="2"/>
  <c r="H40" i="2"/>
  <c r="Z39" i="2"/>
  <c r="C39" i="2"/>
  <c r="X38" i="2"/>
  <c r="AP36" i="2"/>
  <c r="S36" i="2"/>
  <c r="AN35" i="2"/>
  <c r="R35" i="2"/>
  <c r="AI34" i="2"/>
  <c r="P34" i="2"/>
  <c r="AN33" i="2"/>
  <c r="Y33" i="2"/>
  <c r="K33" i="2"/>
  <c r="AN31" i="2"/>
  <c r="Z31" i="2"/>
  <c r="N31" i="2"/>
  <c r="AO30" i="2"/>
  <c r="AA30" i="2"/>
  <c r="P30" i="2"/>
  <c r="E30" i="2"/>
  <c r="AH29" i="2"/>
  <c r="X29" i="2"/>
  <c r="N29" i="2"/>
  <c r="E29" i="2"/>
  <c r="AI27" i="2"/>
  <c r="Z27" i="2"/>
  <c r="Q27" i="2"/>
  <c r="H27" i="2"/>
  <c r="AM26" i="2"/>
  <c r="AD26" i="2"/>
  <c r="U26" i="2"/>
  <c r="K26" i="2"/>
  <c r="AP25" i="2"/>
  <c r="AG25" i="2"/>
  <c r="X25" i="2"/>
  <c r="O25" i="2"/>
  <c r="G25" i="2"/>
  <c r="AM24" i="2"/>
  <c r="AE24" i="2"/>
  <c r="W24" i="2"/>
  <c r="O24" i="2"/>
  <c r="G24" i="2"/>
  <c r="AM23" i="2"/>
  <c r="AE23" i="2"/>
  <c r="W23" i="2"/>
  <c r="O23" i="2"/>
  <c r="G23" i="2"/>
  <c r="AM22" i="2"/>
  <c r="AE22" i="2"/>
  <c r="W22" i="2"/>
  <c r="O22" i="2"/>
  <c r="G22" i="2"/>
  <c r="AM21" i="2"/>
  <c r="AE21" i="2"/>
  <c r="W21" i="2"/>
  <c r="O21" i="2"/>
  <c r="G21" i="2"/>
  <c r="AM20" i="2"/>
  <c r="AE20" i="2"/>
  <c r="W20" i="2"/>
  <c r="O20" i="2"/>
  <c r="G20" i="2"/>
  <c r="AM19" i="2"/>
  <c r="AE19" i="2"/>
  <c r="W19" i="2"/>
  <c r="O19" i="2"/>
  <c r="G19" i="2"/>
  <c r="AM18" i="2"/>
  <c r="AE18" i="2"/>
  <c r="W18" i="2"/>
  <c r="O18" i="2"/>
  <c r="G18" i="2"/>
  <c r="AM17" i="2"/>
  <c r="AE17" i="2"/>
  <c r="W17" i="2"/>
  <c r="O17" i="2"/>
  <c r="G17" i="2"/>
  <c r="AM16" i="2"/>
  <c r="AE16" i="2"/>
  <c r="W16" i="2"/>
  <c r="O16" i="2"/>
  <c r="G16" i="2"/>
  <c r="AM15" i="2"/>
  <c r="AE15" i="2"/>
  <c r="W15" i="2"/>
  <c r="O15" i="2"/>
  <c r="G15" i="2"/>
  <c r="AM14" i="2"/>
  <c r="AE14" i="2"/>
  <c r="W14" i="2"/>
  <c r="O14" i="2"/>
  <c r="G14" i="2"/>
  <c r="AM13" i="2"/>
  <c r="AE13" i="2"/>
  <c r="W13" i="2"/>
  <c r="O13" i="2"/>
  <c r="G13" i="2"/>
  <c r="AM12" i="2"/>
  <c r="AE12" i="2"/>
  <c r="W12" i="2"/>
  <c r="O12" i="2"/>
  <c r="G12" i="2"/>
  <c r="AM11" i="2"/>
  <c r="AE11" i="2"/>
  <c r="W11" i="2"/>
  <c r="O11" i="2"/>
  <c r="G11" i="2"/>
  <c r="AM10" i="2"/>
  <c r="AE10" i="2"/>
  <c r="W10" i="2"/>
  <c r="O10" i="2"/>
  <c r="G10" i="2"/>
  <c r="AM9" i="2"/>
  <c r="AE9" i="2"/>
  <c r="W9" i="2"/>
  <c r="O9" i="2"/>
  <c r="G9" i="2"/>
  <c r="AM8" i="2"/>
  <c r="AE8" i="2"/>
  <c r="W8" i="2"/>
  <c r="O8" i="2"/>
  <c r="G8" i="2"/>
  <c r="AM7" i="2"/>
  <c r="AE7" i="2"/>
  <c r="W7" i="2"/>
  <c r="O7" i="2"/>
  <c r="G7" i="2"/>
  <c r="AM6" i="2"/>
  <c r="V7" i="2"/>
  <c r="AD6" i="2"/>
  <c r="F6" i="2"/>
  <c r="K7" i="2"/>
  <c r="R6" i="2"/>
  <c r="P51" i="2"/>
  <c r="H48" i="2"/>
  <c r="X46" i="2"/>
  <c r="H38" i="2"/>
  <c r="AA33" i="2"/>
  <c r="R30" i="2"/>
  <c r="AC27" i="2"/>
  <c r="E26" i="2"/>
  <c r="Y24" i="2"/>
  <c r="I23" i="2"/>
  <c r="AG21" i="2"/>
  <c r="Q20" i="2"/>
  <c r="AG18" i="2"/>
  <c r="Q17" i="2"/>
  <c r="AO15" i="2"/>
  <c r="AG14" i="2"/>
  <c r="Q13" i="2"/>
  <c r="AO11" i="2"/>
  <c r="AG10" i="2"/>
  <c r="Q9" i="2"/>
  <c r="AG7" i="2"/>
  <c r="I6" i="2"/>
  <c r="AD30" i="3"/>
  <c r="AO17" i="3"/>
  <c r="Y11" i="3"/>
  <c r="AK56" i="2"/>
  <c r="AN53" i="2"/>
  <c r="P52" i="2"/>
  <c r="AF50" i="2"/>
  <c r="H49" i="2"/>
  <c r="X47" i="2"/>
  <c r="AN45" i="2"/>
  <c r="R41" i="2"/>
  <c r="Z40" i="2"/>
  <c r="C40" i="2"/>
  <c r="X39" i="2"/>
  <c r="AP38" i="2"/>
  <c r="S38" i="2"/>
  <c r="AN36" i="2"/>
  <c r="R36" i="2"/>
  <c r="AI35" i="2"/>
  <c r="P35" i="2"/>
  <c r="AH34" i="2"/>
  <c r="K34" i="2"/>
  <c r="AI33" i="2"/>
  <c r="X33" i="2"/>
  <c r="J33" i="2"/>
  <c r="AL31" i="2"/>
  <c r="Y31" i="2"/>
  <c r="K31" i="2"/>
  <c r="AN30" i="2"/>
  <c r="Z30" i="2"/>
  <c r="N30" i="2"/>
  <c r="C30" i="2"/>
  <c r="AG29" i="2"/>
  <c r="V29" i="2"/>
  <c r="M29" i="2"/>
  <c r="C29" i="2"/>
  <c r="AH27" i="2"/>
  <c r="Y27" i="2"/>
  <c r="P27" i="2"/>
  <c r="G27" i="2"/>
  <c r="AL26" i="2"/>
  <c r="AC26" i="2"/>
  <c r="S26" i="2"/>
  <c r="J26" i="2"/>
  <c r="AO25" i="2"/>
  <c r="AF25" i="2"/>
  <c r="W25" i="2"/>
  <c r="N25" i="2"/>
  <c r="F25" i="2"/>
  <c r="AL24" i="2"/>
  <c r="AD24" i="2"/>
  <c r="V24" i="2"/>
  <c r="N24" i="2"/>
  <c r="F24" i="2"/>
  <c r="AL23" i="2"/>
  <c r="AD23" i="2"/>
  <c r="V23" i="2"/>
  <c r="N23" i="2"/>
  <c r="F23" i="2"/>
  <c r="AL22" i="2"/>
  <c r="AD22" i="2"/>
  <c r="V22" i="2"/>
  <c r="N22" i="2"/>
  <c r="F22" i="2"/>
  <c r="AL21" i="2"/>
  <c r="AD21" i="2"/>
  <c r="V21" i="2"/>
  <c r="N21" i="2"/>
  <c r="F21" i="2"/>
  <c r="AL20" i="2"/>
  <c r="AD20" i="2"/>
  <c r="V20" i="2"/>
  <c r="N20" i="2"/>
  <c r="F20" i="2"/>
  <c r="AL19" i="2"/>
  <c r="AD19" i="2"/>
  <c r="V19" i="2"/>
  <c r="N19" i="2"/>
  <c r="F19" i="2"/>
  <c r="AL18" i="2"/>
  <c r="AD18" i="2"/>
  <c r="V18" i="2"/>
  <c r="N18" i="2"/>
  <c r="F18" i="2"/>
  <c r="AL17" i="2"/>
  <c r="AD17" i="2"/>
  <c r="V17" i="2"/>
  <c r="N17" i="2"/>
  <c r="F17" i="2"/>
  <c r="AL16" i="2"/>
  <c r="AD16" i="2"/>
  <c r="V16" i="2"/>
  <c r="N16" i="2"/>
  <c r="F16" i="2"/>
  <c r="AL15" i="2"/>
  <c r="AD15" i="2"/>
  <c r="V15" i="2"/>
  <c r="N15" i="2"/>
  <c r="F15" i="2"/>
  <c r="AL14" i="2"/>
  <c r="AD14" i="2"/>
  <c r="V14" i="2"/>
  <c r="N14" i="2"/>
  <c r="F14" i="2"/>
  <c r="AL13" i="2"/>
  <c r="AD13" i="2"/>
  <c r="V13" i="2"/>
  <c r="N13" i="2"/>
  <c r="F13" i="2"/>
  <c r="AL12" i="2"/>
  <c r="AD12" i="2"/>
  <c r="V12" i="2"/>
  <c r="N12" i="2"/>
  <c r="F12" i="2"/>
  <c r="AL11" i="2"/>
  <c r="AD11" i="2"/>
  <c r="V11" i="2"/>
  <c r="N11" i="2"/>
  <c r="F11" i="2"/>
  <c r="AL10" i="2"/>
  <c r="AD10" i="2"/>
  <c r="V10" i="2"/>
  <c r="N10" i="2"/>
  <c r="F10" i="2"/>
  <c r="AL9" i="2"/>
  <c r="AD9" i="2"/>
  <c r="V9" i="2"/>
  <c r="N9" i="2"/>
  <c r="F9" i="2"/>
  <c r="AL8" i="2"/>
  <c r="AD8" i="2"/>
  <c r="V8" i="2"/>
  <c r="N8" i="2"/>
  <c r="F8" i="2"/>
  <c r="AL7" i="2"/>
  <c r="AD7" i="2"/>
  <c r="F7" i="2"/>
  <c r="V6" i="2"/>
  <c r="S7" i="2"/>
  <c r="C6" i="2"/>
  <c r="AN52" i="2"/>
  <c r="AN41" i="2"/>
  <c r="Z36" i="2"/>
  <c r="P33" i="2"/>
  <c r="AK29" i="2"/>
  <c r="J27" i="2"/>
  <c r="AI25" i="2"/>
  <c r="Q24" i="2"/>
  <c r="AO22" i="2"/>
  <c r="Y21" i="2"/>
  <c r="I20" i="2"/>
  <c r="AO18" i="2"/>
  <c r="AG17" i="2"/>
  <c r="Q16" i="2"/>
  <c r="AO14" i="2"/>
  <c r="Y13" i="2"/>
  <c r="Y12" i="2"/>
  <c r="I11" i="2"/>
  <c r="AG9" i="2"/>
  <c r="Q8" i="2"/>
  <c r="AO6" i="2"/>
  <c r="V25" i="3"/>
  <c r="I17" i="3"/>
  <c r="AG10" i="3"/>
  <c r="U56" i="2"/>
  <c r="AF53" i="2"/>
  <c r="H52" i="2"/>
  <c r="X50" i="2"/>
  <c r="AN48" i="2"/>
  <c r="P47" i="2"/>
  <c r="AF45" i="2"/>
  <c r="P41" i="2"/>
  <c r="X40" i="2"/>
  <c r="AP39" i="2"/>
  <c r="S39" i="2"/>
  <c r="AN38" i="2"/>
  <c r="R38" i="2"/>
  <c r="AI36" i="2"/>
  <c r="P36" i="2"/>
  <c r="AH35" i="2"/>
  <c r="K35" i="2"/>
  <c r="AF34" i="2"/>
  <c r="J34" i="2"/>
  <c r="AH33" i="2"/>
  <c r="V33" i="2"/>
  <c r="I33" i="2"/>
  <c r="AI31" i="2"/>
  <c r="X31" i="2"/>
  <c r="J31" i="2"/>
  <c r="AL30" i="2"/>
  <c r="Y30" i="2"/>
  <c r="M30" i="2"/>
  <c r="AP29" i="2"/>
  <c r="AF29" i="2"/>
  <c r="U29" i="2"/>
  <c r="K29" i="2"/>
  <c r="AP27" i="2"/>
  <c r="AG27" i="2"/>
  <c r="X27" i="2"/>
  <c r="O27" i="2"/>
  <c r="F27" i="2"/>
  <c r="AK26" i="2"/>
  <c r="AA26" i="2"/>
  <c r="R26" i="2"/>
  <c r="I26" i="2"/>
  <c r="AN25" i="2"/>
  <c r="AE25" i="2"/>
  <c r="V25" i="2"/>
  <c r="M25" i="2"/>
  <c r="E25" i="2"/>
  <c r="AK24" i="2"/>
  <c r="AC24" i="2"/>
  <c r="U24" i="2"/>
  <c r="M24" i="2"/>
  <c r="E24" i="2"/>
  <c r="AK23" i="2"/>
  <c r="AC23" i="2"/>
  <c r="U23" i="2"/>
  <c r="M23" i="2"/>
  <c r="E23" i="2"/>
  <c r="AK22" i="2"/>
  <c r="AC22" i="2"/>
  <c r="U22" i="2"/>
  <c r="M22" i="2"/>
  <c r="E22" i="2"/>
  <c r="AK21" i="2"/>
  <c r="AC21" i="2"/>
  <c r="U21" i="2"/>
  <c r="M21" i="2"/>
  <c r="E21" i="2"/>
  <c r="AK20" i="2"/>
  <c r="AC20" i="2"/>
  <c r="U20" i="2"/>
  <c r="M20" i="2"/>
  <c r="E20" i="2"/>
  <c r="AK19" i="2"/>
  <c r="AC19" i="2"/>
  <c r="U19" i="2"/>
  <c r="M19" i="2"/>
  <c r="E19" i="2"/>
  <c r="AK18" i="2"/>
  <c r="AC18" i="2"/>
  <c r="U18" i="2"/>
  <c r="M18" i="2"/>
  <c r="E18" i="2"/>
  <c r="AK17" i="2"/>
  <c r="AC17" i="2"/>
  <c r="U17" i="2"/>
  <c r="M17" i="2"/>
  <c r="E17" i="2"/>
  <c r="AK16" i="2"/>
  <c r="AC16" i="2"/>
  <c r="U16" i="2"/>
  <c r="M16" i="2"/>
  <c r="E16" i="2"/>
  <c r="AK15" i="2"/>
  <c r="AC15" i="2"/>
  <c r="U15" i="2"/>
  <c r="M15" i="2"/>
  <c r="E15" i="2"/>
  <c r="AK14" i="2"/>
  <c r="AC14" i="2"/>
  <c r="U14" i="2"/>
  <c r="M14" i="2"/>
  <c r="E14" i="2"/>
  <c r="AK13" i="2"/>
  <c r="AC13" i="2"/>
  <c r="U13" i="2"/>
  <c r="M13" i="2"/>
  <c r="E13" i="2"/>
  <c r="AK12" i="2"/>
  <c r="AC12" i="2"/>
  <c r="U12" i="2"/>
  <c r="M12" i="2"/>
  <c r="E12" i="2"/>
  <c r="AK11" i="2"/>
  <c r="AC11" i="2"/>
  <c r="U11" i="2"/>
  <c r="M11" i="2"/>
  <c r="E11" i="2"/>
  <c r="AK10" i="2"/>
  <c r="AC10" i="2"/>
  <c r="U10" i="2"/>
  <c r="M10" i="2"/>
  <c r="E10" i="2"/>
  <c r="AK9" i="2"/>
  <c r="AC9" i="2"/>
  <c r="U9" i="2"/>
  <c r="M9" i="2"/>
  <c r="E9" i="2"/>
  <c r="AK8" i="2"/>
  <c r="AC8" i="2"/>
  <c r="U8" i="2"/>
  <c r="M8" i="2"/>
  <c r="E8" i="2"/>
  <c r="AK7" i="2"/>
  <c r="AC7" i="2"/>
  <c r="U7" i="2"/>
  <c r="M7" i="2"/>
  <c r="E7" i="2"/>
  <c r="AK6" i="2"/>
  <c r="AC6" i="2"/>
  <c r="U6" i="2"/>
  <c r="M6" i="2"/>
  <c r="E6" i="2"/>
  <c r="L6" i="2"/>
  <c r="K11" i="2"/>
  <c r="S10" i="2"/>
  <c r="AA9" i="2"/>
  <c r="C9" i="2"/>
  <c r="K8" i="2"/>
  <c r="C7" i="2"/>
  <c r="K6" i="2"/>
  <c r="E8" i="3"/>
  <c r="AF39" i="2"/>
  <c r="S34" i="2"/>
  <c r="C31" i="2"/>
  <c r="P29" i="2"/>
  <c r="AF26" i="2"/>
  <c r="I25" i="2"/>
  <c r="AO23" i="2"/>
  <c r="AG22" i="2"/>
  <c r="Q21" i="2"/>
  <c r="AO19" i="2"/>
  <c r="Q18" i="2"/>
  <c r="I17" i="2"/>
  <c r="Y15" i="2"/>
  <c r="Q14" i="2"/>
  <c r="AO12" i="2"/>
  <c r="Q11" i="2"/>
  <c r="AO9" i="2"/>
  <c r="AG8" i="2"/>
  <c r="Y7" i="2"/>
  <c r="Q6" i="2"/>
  <c r="Q23" i="3"/>
  <c r="Q16" i="3"/>
  <c r="AO9" i="3"/>
  <c r="E56" i="2"/>
  <c r="X53" i="2"/>
  <c r="AN51" i="2"/>
  <c r="P50" i="2"/>
  <c r="AF48" i="2"/>
  <c r="H47" i="2"/>
  <c r="X45" i="2"/>
  <c r="J41" i="2"/>
  <c r="S40" i="2"/>
  <c r="AN39" i="2"/>
  <c r="R39" i="2"/>
  <c r="AI38" i="2"/>
  <c r="P38" i="2"/>
  <c r="AH36" i="2"/>
  <c r="K36" i="2"/>
  <c r="AF35" i="2"/>
  <c r="J35" i="2"/>
  <c r="AA34" i="2"/>
  <c r="I34" i="2"/>
  <c r="AG33" i="2"/>
  <c r="S33" i="2"/>
  <c r="H33" i="2"/>
  <c r="AH31" i="2"/>
  <c r="V31" i="2"/>
  <c r="I31" i="2"/>
  <c r="AI30" i="2"/>
  <c r="X30" i="2"/>
  <c r="K30" i="2"/>
  <c r="AO29" i="2"/>
  <c r="AD29" i="2"/>
  <c r="S29" i="2"/>
  <c r="J29" i="2"/>
  <c r="AO27" i="2"/>
  <c r="AF27" i="2"/>
  <c r="W27" i="2"/>
  <c r="N27" i="2"/>
  <c r="E27" i="2"/>
  <c r="AI26" i="2"/>
  <c r="Z26" i="2"/>
  <c r="Q26" i="2"/>
  <c r="H26" i="2"/>
  <c r="AM25" i="2"/>
  <c r="AD25" i="2"/>
  <c r="U25" i="2"/>
  <c r="L25" i="2"/>
  <c r="D25" i="2"/>
  <c r="AJ24" i="2"/>
  <c r="AB24" i="2"/>
  <c r="T24" i="2"/>
  <c r="L24" i="2"/>
  <c r="D24" i="2"/>
  <c r="AJ23" i="2"/>
  <c r="AB23" i="2"/>
  <c r="T23" i="2"/>
  <c r="L23" i="2"/>
  <c r="D23" i="2"/>
  <c r="AJ22" i="2"/>
  <c r="AB22" i="2"/>
  <c r="T22" i="2"/>
  <c r="L22" i="2"/>
  <c r="D22" i="2"/>
  <c r="AJ21" i="2"/>
  <c r="AB21" i="2"/>
  <c r="T21" i="2"/>
  <c r="L21" i="2"/>
  <c r="D21" i="2"/>
  <c r="AJ20" i="2"/>
  <c r="AB20" i="2"/>
  <c r="T20" i="2"/>
  <c r="L20" i="2"/>
  <c r="D20" i="2"/>
  <c r="AJ19" i="2"/>
  <c r="AB19" i="2"/>
  <c r="T19" i="2"/>
  <c r="L19" i="2"/>
  <c r="D19" i="2"/>
  <c r="AJ18" i="2"/>
  <c r="AB18" i="2"/>
  <c r="T18" i="2"/>
  <c r="L18" i="2"/>
  <c r="D18" i="2"/>
  <c r="AJ17" i="2"/>
  <c r="AB17" i="2"/>
  <c r="T17" i="2"/>
  <c r="L17" i="2"/>
  <c r="D17" i="2"/>
  <c r="AJ16" i="2"/>
  <c r="AB16" i="2"/>
  <c r="T16" i="2"/>
  <c r="L16" i="2"/>
  <c r="D16" i="2"/>
  <c r="AJ15" i="2"/>
  <c r="AB15" i="2"/>
  <c r="T15" i="2"/>
  <c r="L15" i="2"/>
  <c r="D15" i="2"/>
  <c r="AJ14" i="2"/>
  <c r="AB14" i="2"/>
  <c r="T14" i="2"/>
  <c r="L14" i="2"/>
  <c r="D14" i="2"/>
  <c r="AJ13" i="2"/>
  <c r="AB13" i="2"/>
  <c r="T13" i="2"/>
  <c r="L13" i="2"/>
  <c r="D13" i="2"/>
  <c r="AJ12" i="2"/>
  <c r="AB12" i="2"/>
  <c r="T12" i="2"/>
  <c r="L12" i="2"/>
  <c r="D12" i="2"/>
  <c r="AJ11" i="2"/>
  <c r="AB11" i="2"/>
  <c r="T11" i="2"/>
  <c r="L11" i="2"/>
  <c r="D11" i="2"/>
  <c r="AJ10" i="2"/>
  <c r="AB10" i="2"/>
  <c r="T10" i="2"/>
  <c r="L10" i="2"/>
  <c r="D10" i="2"/>
  <c r="AJ9" i="2"/>
  <c r="AB9" i="2"/>
  <c r="T9" i="2"/>
  <c r="L9" i="2"/>
  <c r="D9" i="2"/>
  <c r="AJ8" i="2"/>
  <c r="AB8" i="2"/>
  <c r="T8" i="2"/>
  <c r="L8" i="2"/>
  <c r="D8" i="2"/>
  <c r="AJ7" i="2"/>
  <c r="AB7" i="2"/>
  <c r="T7" i="2"/>
  <c r="L7" i="2"/>
  <c r="D7" i="2"/>
  <c r="AJ6" i="2"/>
  <c r="AB6" i="2"/>
  <c r="T6" i="2"/>
  <c r="D6" i="2"/>
  <c r="AI10" i="2"/>
  <c r="C10" i="2"/>
  <c r="AI9" i="2"/>
  <c r="K9" i="2"/>
  <c r="AI8" i="2"/>
  <c r="S8" i="2"/>
  <c r="AA7" i="2"/>
  <c r="AI6" i="2"/>
  <c r="J6" i="2"/>
  <c r="AF49" i="2"/>
  <c r="K40" i="2"/>
  <c r="C36" i="2"/>
  <c r="AP31" i="2"/>
  <c r="H30" i="2"/>
  <c r="S27" i="2"/>
  <c r="Z25" i="2"/>
  <c r="AG23" i="2"/>
  <c r="Q22" i="2"/>
  <c r="AO20" i="2"/>
  <c r="Y19" i="2"/>
  <c r="I18" i="2"/>
  <c r="AG16" i="2"/>
  <c r="Q15" i="2"/>
  <c r="AO13" i="2"/>
  <c r="I12" i="2"/>
  <c r="Y10" i="2"/>
  <c r="I9" i="2"/>
  <c r="Q7" i="2"/>
  <c r="AO21" i="3"/>
  <c r="Y15" i="3"/>
  <c r="I9" i="3"/>
  <c r="AC55" i="2"/>
  <c r="P53" i="2"/>
  <c r="AF51" i="2"/>
  <c r="H50" i="2"/>
  <c r="X48" i="2"/>
  <c r="AN46" i="2"/>
  <c r="P45" i="2"/>
  <c r="H41" i="2"/>
  <c r="R40" i="2"/>
  <c r="AI39" i="2"/>
  <c r="P39" i="2"/>
  <c r="AH38" i="2"/>
  <c r="K38" i="2"/>
  <c r="AF36" i="2"/>
  <c r="J36" i="2"/>
  <c r="AA35" i="2"/>
  <c r="H35" i="2"/>
  <c r="Z34" i="2"/>
  <c r="H34" i="2"/>
  <c r="AF33" i="2"/>
  <c r="R33" i="2"/>
  <c r="F33" i="2"/>
  <c r="AG31" i="2"/>
  <c r="S31" i="2"/>
  <c r="H31" i="2"/>
  <c r="AH30" i="2"/>
  <c r="V30" i="2"/>
  <c r="J30" i="2"/>
  <c r="AN29" i="2"/>
  <c r="AC29" i="2"/>
  <c r="R29" i="2"/>
  <c r="I29" i="2"/>
  <c r="AN27" i="2"/>
  <c r="AE27" i="2"/>
  <c r="V27" i="2"/>
  <c r="M27" i="2"/>
  <c r="C27" i="2"/>
  <c r="AH26" i="2"/>
  <c r="Y26" i="2"/>
  <c r="P26" i="2"/>
  <c r="G26" i="2"/>
  <c r="AL25" i="2"/>
  <c r="AC25" i="2"/>
  <c r="S25" i="2"/>
  <c r="K25" i="2"/>
  <c r="C25" i="2"/>
  <c r="AI24" i="2"/>
  <c r="AA24" i="2"/>
  <c r="S24" i="2"/>
  <c r="K24" i="2"/>
  <c r="C24" i="2"/>
  <c r="AI23" i="2"/>
  <c r="AA23" i="2"/>
  <c r="S23" i="2"/>
  <c r="K23" i="2"/>
  <c r="C23" i="2"/>
  <c r="AI22" i="2"/>
  <c r="AA22" i="2"/>
  <c r="S22" i="2"/>
  <c r="K22" i="2"/>
  <c r="C22" i="2"/>
  <c r="AI21" i="2"/>
  <c r="AA21" i="2"/>
  <c r="S21" i="2"/>
  <c r="K21" i="2"/>
  <c r="C21" i="2"/>
  <c r="AI20" i="2"/>
  <c r="AA20" i="2"/>
  <c r="S20" i="2"/>
  <c r="K20" i="2"/>
  <c r="C20" i="2"/>
  <c r="AI19" i="2"/>
  <c r="AA19" i="2"/>
  <c r="S19" i="2"/>
  <c r="K19" i="2"/>
  <c r="C19" i="2"/>
  <c r="AI18" i="2"/>
  <c r="AA18" i="2"/>
  <c r="S18" i="2"/>
  <c r="K18" i="2"/>
  <c r="C18" i="2"/>
  <c r="AI17" i="2"/>
  <c r="AA17" i="2"/>
  <c r="S17" i="2"/>
  <c r="K17" i="2"/>
  <c r="C17" i="2"/>
  <c r="AI16" i="2"/>
  <c r="AA16" i="2"/>
  <c r="S16" i="2"/>
  <c r="K16" i="2"/>
  <c r="C16" i="2"/>
  <c r="AI15" i="2"/>
  <c r="AA15" i="2"/>
  <c r="S15" i="2"/>
  <c r="K15" i="2"/>
  <c r="C15" i="2"/>
  <c r="AI14" i="2"/>
  <c r="AA14" i="2"/>
  <c r="S14" i="2"/>
  <c r="K14" i="2"/>
  <c r="C14" i="2"/>
  <c r="AI13" i="2"/>
  <c r="AA13" i="2"/>
  <c r="S13" i="2"/>
  <c r="K13" i="2"/>
  <c r="C13" i="2"/>
  <c r="AI12" i="2"/>
  <c r="AA12" i="2"/>
  <c r="S12" i="2"/>
  <c r="K12" i="2"/>
  <c r="C12" i="2"/>
  <c r="AI11" i="2"/>
  <c r="AA11" i="2"/>
  <c r="S11" i="2"/>
  <c r="C11" i="2"/>
  <c r="AA10" i="2"/>
  <c r="K10" i="2"/>
  <c r="S9" i="2"/>
  <c r="AA8" i="2"/>
  <c r="C8" i="2"/>
  <c r="AA6" i="2"/>
  <c r="Q20" i="3"/>
  <c r="AN40" i="2"/>
  <c r="X35" i="2"/>
  <c r="AD31" i="2"/>
  <c r="G29" i="2"/>
  <c r="N26" i="2"/>
  <c r="AG24" i="2"/>
  <c r="Y23" i="2"/>
  <c r="I22" i="2"/>
  <c r="Y20" i="2"/>
  <c r="I19" i="2"/>
  <c r="Y17" i="2"/>
  <c r="I16" i="2"/>
  <c r="Y14" i="2"/>
  <c r="I13" i="2"/>
  <c r="AG11" i="2"/>
  <c r="Q10" i="2"/>
  <c r="Y8" i="2"/>
  <c r="I7" i="2"/>
  <c r="I21" i="3"/>
  <c r="AG14" i="3"/>
  <c r="U8" i="3"/>
  <c r="M55" i="2"/>
  <c r="H53" i="2"/>
  <c r="X51" i="2"/>
  <c r="AN49" i="2"/>
  <c r="P48" i="2"/>
  <c r="AF46" i="2"/>
  <c r="H45" i="2"/>
  <c r="AP40" i="2"/>
  <c r="P40" i="2"/>
  <c r="AH39" i="2"/>
  <c r="K39" i="2"/>
  <c r="AF38" i="2"/>
  <c r="J38" i="2"/>
  <c r="AA36" i="2"/>
  <c r="H36" i="2"/>
  <c r="Z35" i="2"/>
  <c r="C35" i="2"/>
  <c r="X34" i="2"/>
  <c r="C34" i="2"/>
  <c r="AD33" i="2"/>
  <c r="Q33" i="2"/>
  <c r="C33" i="2"/>
  <c r="AF31" i="2"/>
  <c r="R31" i="2"/>
  <c r="F31" i="2"/>
  <c r="AG30" i="2"/>
  <c r="S30" i="2"/>
  <c r="I30" i="2"/>
  <c r="AL29" i="2"/>
  <c r="AA29" i="2"/>
  <c r="Q29" i="2"/>
  <c r="H29" i="2"/>
  <c r="AM27" i="2"/>
  <c r="AD27" i="2"/>
  <c r="U27" i="2"/>
  <c r="K27" i="2"/>
  <c r="AP26" i="2"/>
  <c r="AG26" i="2"/>
  <c r="X26" i="2"/>
  <c r="O26" i="2"/>
  <c r="F26" i="2"/>
  <c r="AK25" i="2"/>
  <c r="AA25" i="2"/>
  <c r="R25" i="2"/>
  <c r="J25" i="2"/>
  <c r="AP24" i="2"/>
  <c r="AH24" i="2"/>
  <c r="Z24" i="2"/>
  <c r="R24" i="2"/>
  <c r="J24" i="2"/>
  <c r="AP23" i="2"/>
  <c r="AH23" i="2"/>
  <c r="Z23" i="2"/>
  <c r="R23" i="2"/>
  <c r="J23" i="2"/>
  <c r="AP22" i="2"/>
  <c r="AH22" i="2"/>
  <c r="Z22" i="2"/>
  <c r="R22" i="2"/>
  <c r="J22" i="2"/>
  <c r="AP21" i="2"/>
  <c r="AH21" i="2"/>
  <c r="Z21" i="2"/>
  <c r="R21" i="2"/>
  <c r="J21" i="2"/>
  <c r="AP20" i="2"/>
  <c r="AH20" i="2"/>
  <c r="Z20" i="2"/>
  <c r="R20" i="2"/>
  <c r="J20" i="2"/>
  <c r="AP19" i="2"/>
  <c r="AH19" i="2"/>
  <c r="Z19" i="2"/>
  <c r="R19" i="2"/>
  <c r="J19" i="2"/>
  <c r="AP18" i="2"/>
  <c r="AH18" i="2"/>
  <c r="Z18" i="2"/>
  <c r="R18" i="2"/>
  <c r="J18" i="2"/>
  <c r="AP17" i="2"/>
  <c r="AH17" i="2"/>
  <c r="Z17" i="2"/>
  <c r="R17" i="2"/>
  <c r="J17" i="2"/>
  <c r="AP16" i="2"/>
  <c r="AH16" i="2"/>
  <c r="Z16" i="2"/>
  <c r="R16" i="2"/>
  <c r="J16" i="2"/>
  <c r="AP15" i="2"/>
  <c r="AH15" i="2"/>
  <c r="Z15" i="2"/>
  <c r="R15" i="2"/>
  <c r="J15" i="2"/>
  <c r="AP14" i="2"/>
  <c r="AH14" i="2"/>
  <c r="Z14" i="2"/>
  <c r="R14" i="2"/>
  <c r="J14" i="2"/>
  <c r="AP13" i="2"/>
  <c r="AH13" i="2"/>
  <c r="Z13" i="2"/>
  <c r="R13" i="2"/>
  <c r="J13" i="2"/>
  <c r="AP12" i="2"/>
  <c r="AH12" i="2"/>
  <c r="Z12" i="2"/>
  <c r="R12" i="2"/>
  <c r="J12" i="2"/>
  <c r="AP11" i="2"/>
  <c r="AH11" i="2"/>
  <c r="Z11" i="2"/>
  <c r="R11" i="2"/>
  <c r="J11" i="2"/>
  <c r="AP10" i="2"/>
  <c r="AH10" i="2"/>
  <c r="Z10" i="2"/>
  <c r="R10" i="2"/>
  <c r="J10" i="2"/>
  <c r="AP9" i="2"/>
  <c r="AH9" i="2"/>
  <c r="Z9" i="2"/>
  <c r="R9" i="2"/>
  <c r="J9" i="2"/>
  <c r="AP8" i="2"/>
  <c r="AH8" i="2"/>
  <c r="Z8" i="2"/>
  <c r="R8" i="2"/>
  <c r="J8" i="2"/>
  <c r="AP7" i="2"/>
  <c r="AH7" i="2"/>
  <c r="Z7" i="2"/>
  <c r="R7" i="2"/>
  <c r="J7" i="2"/>
  <c r="AP6" i="2"/>
  <c r="AH6" i="2"/>
  <c r="Z6" i="2"/>
  <c r="AO13" i="3"/>
  <c r="AA38" i="2"/>
  <c r="AP33" i="2"/>
  <c r="AF30" i="2"/>
  <c r="AL27" i="2"/>
  <c r="W26" i="2"/>
  <c r="AO24" i="2"/>
  <c r="Q23" i="2"/>
  <c r="AO21" i="2"/>
  <c r="AG20" i="2"/>
  <c r="Q19" i="2"/>
  <c r="AO17" i="2"/>
  <c r="Y16" i="2"/>
  <c r="I15" i="2"/>
  <c r="AG13" i="2"/>
  <c r="Q12" i="2"/>
  <c r="AO10" i="2"/>
  <c r="Y9" i="2"/>
  <c r="I8" i="2"/>
  <c r="AG6" i="2"/>
  <c r="Y19" i="3"/>
  <c r="I13" i="3"/>
  <c r="AC7" i="3"/>
  <c r="U54" i="2"/>
  <c r="AF52" i="2"/>
  <c r="H51" i="2"/>
  <c r="X49" i="2"/>
  <c r="AN47" i="2"/>
  <c r="P46" i="2"/>
  <c r="AF41" i="2"/>
  <c r="AH40" i="2"/>
  <c r="J40" i="2"/>
  <c r="AA39" i="2"/>
  <c r="H39" i="2"/>
  <c r="Z38" i="2"/>
  <c r="C38" i="2"/>
  <c r="X36" i="2"/>
  <c r="AP35" i="2"/>
  <c r="S35" i="2"/>
  <c r="AN34" i="2"/>
  <c r="R34" i="2"/>
  <c r="AO33" i="2"/>
  <c r="Z33" i="2"/>
  <c r="N33" i="2"/>
  <c r="AO31" i="2"/>
  <c r="AA31" i="2"/>
  <c r="P31" i="2"/>
  <c r="AP30" i="2"/>
  <c r="AD30" i="2"/>
  <c r="Q30" i="2"/>
  <c r="F30" i="2"/>
  <c r="AI29" i="2"/>
  <c r="Y29" i="2"/>
  <c r="O29" i="2"/>
  <c r="F29" i="2"/>
  <c r="AK27" i="2"/>
  <c r="AA27" i="2"/>
  <c r="R27" i="2"/>
  <c r="I27" i="2"/>
  <c r="AN26" i="2"/>
  <c r="AE26" i="2"/>
  <c r="V26" i="2"/>
  <c r="M26" i="2"/>
  <c r="C26" i="2"/>
  <c r="AH25" i="2"/>
  <c r="Y25" i="2"/>
  <c r="P25" i="2"/>
  <c r="H25" i="2"/>
  <c r="AN24" i="2"/>
  <c r="AF24" i="2"/>
  <c r="X24" i="2"/>
  <c r="P24" i="2"/>
  <c r="H24" i="2"/>
  <c r="AN23" i="2"/>
  <c r="AF23" i="2"/>
  <c r="X23" i="2"/>
  <c r="P23" i="2"/>
  <c r="H23" i="2"/>
  <c r="AN22" i="2"/>
  <c r="AF22" i="2"/>
  <c r="X22" i="2"/>
  <c r="P22" i="2"/>
  <c r="H22" i="2"/>
  <c r="AN21" i="2"/>
  <c r="AF21" i="2"/>
  <c r="X21" i="2"/>
  <c r="P21" i="2"/>
  <c r="H21" i="2"/>
  <c r="AN20" i="2"/>
  <c r="AF20" i="2"/>
  <c r="X20" i="2"/>
  <c r="P20" i="2"/>
  <c r="H20" i="2"/>
  <c r="AN19" i="2"/>
  <c r="AF19" i="2"/>
  <c r="X19" i="2"/>
  <c r="P19" i="2"/>
  <c r="H19" i="2"/>
  <c r="AN18" i="2"/>
  <c r="AF18" i="2"/>
  <c r="X18" i="2"/>
  <c r="P18" i="2"/>
  <c r="H18" i="2"/>
  <c r="AN17" i="2"/>
  <c r="AF17" i="2"/>
  <c r="X17" i="2"/>
  <c r="P17" i="2"/>
  <c r="H17" i="2"/>
  <c r="AN16" i="2"/>
  <c r="AF16" i="2"/>
  <c r="X16" i="2"/>
  <c r="P16" i="2"/>
  <c r="H16" i="2"/>
  <c r="AN15" i="2"/>
  <c r="AF15" i="2"/>
  <c r="X15" i="2"/>
  <c r="P15" i="2"/>
  <c r="H15" i="2"/>
  <c r="AN14" i="2"/>
  <c r="AF14" i="2"/>
  <c r="X14" i="2"/>
  <c r="P14" i="2"/>
  <c r="H14" i="2"/>
  <c r="AN13" i="2"/>
  <c r="AF13" i="2"/>
  <c r="X13" i="2"/>
  <c r="P13" i="2"/>
  <c r="H13" i="2"/>
  <c r="AN12" i="2"/>
  <c r="AF12" i="2"/>
  <c r="X12" i="2"/>
  <c r="P12" i="2"/>
  <c r="H12" i="2"/>
  <c r="AN11" i="2"/>
  <c r="AF11" i="2"/>
  <c r="X11" i="2"/>
  <c r="P11" i="2"/>
  <c r="H11" i="2"/>
  <c r="AN10" i="2"/>
  <c r="AF10" i="2"/>
  <c r="X10" i="2"/>
  <c r="P10" i="2"/>
  <c r="H10" i="2"/>
  <c r="AN9" i="2"/>
  <c r="AF9" i="2"/>
  <c r="X9" i="2"/>
  <c r="P9" i="2"/>
  <c r="H9" i="2"/>
  <c r="AN8" i="2"/>
  <c r="AF8" i="2"/>
  <c r="X8" i="2"/>
  <c r="P8" i="2"/>
  <c r="H8" i="2"/>
  <c r="AN7" i="2"/>
  <c r="AF7" i="2"/>
  <c r="X7" i="2"/>
  <c r="P7" i="2"/>
  <c r="H7" i="2"/>
  <c r="AN6" i="2"/>
  <c r="AF6" i="2"/>
  <c r="X6" i="2"/>
  <c r="P6" i="2"/>
  <c r="H6" i="2"/>
  <c r="AE6" i="2"/>
  <c r="W6" i="2"/>
  <c r="O6" i="2"/>
  <c r="G6" i="2"/>
  <c r="N7" i="2"/>
  <c r="AL6" i="2"/>
  <c r="N6" i="2"/>
  <c r="AI7" i="2"/>
  <c r="S6" i="2"/>
  <c r="AK54" i="2"/>
  <c r="J39" i="2"/>
  <c r="AP34" i="2"/>
  <c r="Q31" i="2"/>
  <c r="Z29" i="2"/>
  <c r="AO26" i="2"/>
  <c r="Q25" i="2"/>
  <c r="I24" i="2"/>
  <c r="Y22" i="2"/>
  <c r="I21" i="2"/>
  <c r="AG19" i="2"/>
  <c r="Y18" i="2"/>
  <c r="AO16" i="2"/>
  <c r="AG15" i="2"/>
  <c r="I14" i="2"/>
  <c r="AG12" i="2"/>
  <c r="Y11" i="2"/>
  <c r="I10" i="2"/>
  <c r="AO8" i="2"/>
  <c r="AO7" i="2"/>
  <c r="Y6" i="2"/>
</calcChain>
</file>

<file path=xl/sharedStrings.xml><?xml version="1.0" encoding="utf-8"?>
<sst xmlns="http://schemas.openxmlformats.org/spreadsheetml/2006/main" count="840" uniqueCount="392">
  <si>
    <t>Revenue</t>
  </si>
  <si>
    <t>Gross Profit</t>
  </si>
  <si>
    <t>Cash &amp; Equivalents</t>
  </si>
  <si>
    <t>Reference Items</t>
  </si>
  <si>
    <t>Right click to show data transparency (not supported for all values)</t>
  </si>
  <si>
    <t>Exxon Mobil Corp (XOM US) - Adjusted</t>
  </si>
  <si>
    <t>In Millions of USD except Per Share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</si>
  <si>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</si>
  <si>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</si>
  <si>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</si>
  <si>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</si>
  <si>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</si>
  <si>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</si>
  <si>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</si>
  <si>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</si>
  <si>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</si>
  <si>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</si>
  <si>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</si>
  <si>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</si>
  <si>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</si>
  <si>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</si>
  <si>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</si>
  <si>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</si>
  <si>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</si>
  <si>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</si>
  <si>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</si>
  <si>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</si>
  <si>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</si>
  <si>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</si>
  <si>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</si>
  <si>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</si>
  <si>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</si>
  <si>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</si>
  <si>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</si>
  <si>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</si>
  <si>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</si>
  <si>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</si>
  <si>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</si>
  <si>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</si>
  <si>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</si>
  <si>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</si>
  <si>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</si>
  <si>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</si>
  <si>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</si>
  <si>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</si>
  <si>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</si>
  <si>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</si>
  <si>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3 Months Ending</t>
  </si>
  <si>
    <t>09/30/1998</t>
  </si>
  <si>
    <t>12/31/1998</t>
  </si>
  <si>
    <t>03/31/1999</t>
  </si>
  <si>
    <t>06/30/1999</t>
  </si>
  <si>
    <t>09/30/1999</t>
  </si>
  <si>
    <t>12/31/1999</t>
  </si>
  <si>
    <t>03/31/2000</t>
  </si>
  <si>
    <t>06/30/2000</t>
  </si>
  <si>
    <t>09/30/2000</t>
  </si>
  <si>
    <t>12/31/2000</t>
  </si>
  <si>
    <t>03/31/2001</t>
  </si>
  <si>
    <t>06/30/2001</t>
  </si>
  <si>
    <t>09/30/2001</t>
  </si>
  <si>
    <t>12/31/2001</t>
  </si>
  <si>
    <t>03/31/2002</t>
  </si>
  <si>
    <t>06/30/2002</t>
  </si>
  <si>
    <t>09/30/2002</t>
  </si>
  <si>
    <t>12/31/2002</t>
  </si>
  <si>
    <t>03/31/2003</t>
  </si>
  <si>
    <t>06/30/2003</t>
  </si>
  <si>
    <t>09/30/2003</t>
  </si>
  <si>
    <t>12/31/2003</t>
  </si>
  <si>
    <t>03/31/2004</t>
  </si>
  <si>
    <t>06/30/2004</t>
  </si>
  <si>
    <t>09/30/2004</t>
  </si>
  <si>
    <t>12/31/2004</t>
  </si>
  <si>
    <t>03/31/2005</t>
  </si>
  <si>
    <t>06/30/2005</t>
  </si>
  <si>
    <t>09/30/2005</t>
  </si>
  <si>
    <t>12/31/2005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</si>
  <si>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</si>
  <si>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</si>
  <si>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</si>
  <si>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</si>
  <si>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</si>
  <si>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</si>
  <si>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</si>
  <si>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</si>
  <si>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</si>
  <si>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</si>
  <si>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SALES_REV_TURN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</si>
  <si>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</si>
  <si>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</si>
  <si>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</si>
  <si>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</si>
  <si>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</si>
  <si>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</si>
  <si>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</si>
  <si>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</si>
  <si>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</si>
  <si>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>Operating Income (Loss)</t>
  </si>
  <si>
    <t>IS_OPER_INC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</si>
  <si>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</si>
  <si>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</si>
  <si>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</si>
  <si>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</si>
  <si>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+ Foreign Exch (Gain) Loss</t>
  </si>
  <si>
    <t>IS_FOREIGN_EXCH_LOSS</t>
  </si>
  <si>
    <t>Pretax Income (Loss), Adjusted</t>
  </si>
  <si>
    <t>PRETAX_INC</t>
  </si>
  <si>
    <t xml:space="preserve">  - Abnormal Losses (Gains)</t>
  </si>
  <si>
    <t>IS_ABNORMAL_ITEM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</si>
  <si>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</si>
  <si>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</si>
  <si>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</si>
  <si>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</si>
  <si>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</si>
  <si>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</si>
  <si>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</si>
  <si>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</si>
  <si>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</si>
  <si>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</si>
  <si>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</si>
  <si>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</si>
  <si>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</si>
  <si>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</si>
  <si>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</si>
  <si>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</si>
  <si>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</si>
  <si>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</si>
  <si>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</si>
  <si>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</si>
  <si>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</si>
  <si>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</si>
  <si>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</si>
  <si>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</si>
  <si>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</si>
  <si>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</si>
  <si>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</si>
  <si>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</si>
  <si>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</si>
  <si>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</si>
  <si>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</si>
  <si>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</si>
  <si>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</si>
  <si>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</si>
  <si>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</si>
  <si>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</si>
  <si>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</si>
  <si>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</si>
  <si>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</si>
  <si>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</si>
  <si>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</si>
  <si>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</si>
  <si>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N.A.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</si>
  <si>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</si>
  <si>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</si>
  <si>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</si>
  <si>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</si>
  <si>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</si>
  <si>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</si>
  <si>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</si>
  <si>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</si>
  <si>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</si>
  <si>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</si>
  <si>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</si>
  <si>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</si>
  <si>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</si>
  <si>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</si>
  <si>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EQY_DPS</t>
  </si>
  <si>
    <t>Total Cash Common Dividends</t>
  </si>
  <si>
    <t>IS_TOT_CASH_COM_DVD</t>
  </si>
  <si>
    <t>Export Sales</t>
  </si>
  <si>
    <t>IS_EXPORT_SALES</t>
  </si>
  <si>
    <t>Depreciation Expense</t>
  </si>
  <si>
    <t>IS_DEPR_EXP</t>
  </si>
  <si>
    <t>Source: Bloomberg</t>
  </si>
  <si>
    <t>Exxon Mobil Corp (XOM US) - Standardized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</si>
  <si>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</si>
  <si>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</si>
  <si>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</si>
  <si>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</si>
  <si>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</si>
  <si>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</si>
  <si>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</si>
  <si>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</si>
  <si>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</si>
  <si>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</si>
  <si>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</si>
  <si>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</si>
  <si>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</si>
  <si>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</si>
  <si>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</si>
  <si>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</si>
  <si>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</si>
  <si>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</si>
  <si>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</si>
  <si>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</si>
  <si>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</si>
  <si>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</si>
  <si>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</si>
  <si>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</si>
  <si>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</si>
  <si>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</si>
  <si>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</si>
  <si>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</si>
  <si>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</si>
  <si>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</si>
  <si>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</si>
  <si>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</si>
  <si>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</si>
  <si>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</si>
  <si>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</si>
  <si>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</si>
  <si>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</si>
  <si>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</si>
  <si>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</si>
  <si>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</si>
  <si>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</si>
  <si>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</si>
  <si>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</si>
  <si>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</si>
  <si>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</si>
  <si>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</si>
  <si>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</si>
  <si>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+ ST Debt</t>
  </si>
  <si>
    <t>BS_ST_BORROW</t>
  </si>
  <si>
    <t xml:space="preserve">  + Other ST Liabilities</t>
  </si>
  <si>
    <t>OTHER_CURRENT_LIABS_SUB_DETAILED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</si>
  <si>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</si>
  <si>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</si>
  <si>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</si>
  <si>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</si>
  <si>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</si>
  <si>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</si>
  <si>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+ Other LT Liabilities</t>
  </si>
  <si>
    <t>OTHER_NONCUR_LIABS_SUB_DETAILED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</si>
  <si>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</si>
  <si>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</si>
  <si>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</si>
  <si>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</si>
  <si>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</si>
  <si>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</si>
  <si>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</si>
  <si>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</si>
  <si>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</si>
  <si>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</si>
  <si>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</si>
  <si>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</si>
  <si>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</si>
  <si>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</si>
  <si>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</si>
  <si>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</si>
  <si>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</si>
  <si>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</si>
  <si>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</si>
  <si>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</si>
  <si>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</si>
  <si>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</si>
  <si>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</si>
  <si>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</si>
  <si>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</si>
  <si>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</si>
  <si>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</si>
  <si>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</si>
  <si>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</si>
  <si>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</si>
  <si>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</si>
  <si>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</si>
  <si>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</si>
  <si>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</si>
  <si>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</si>
  <si>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</si>
  <si>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</si>
  <si>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</si>
  <si>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</si>
  <si>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</si>
  <si>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</si>
  <si>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</si>
  <si>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</si>
  <si>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</si>
  <si>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</si>
  <si>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</si>
  <si>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</si>
  <si>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</si>
  <si>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</si>
  <si>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</si>
  <si>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</si>
  <si>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</si>
  <si>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</si>
  <si>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</si>
  <si>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</si>
  <si>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</si>
  <si>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</si>
  <si>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</si>
  <si>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</si>
  <si>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</si>
  <si>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</si>
  <si>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</si>
  <si>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</si>
  <si>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</si>
  <si>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</si>
  <si>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</si>
  <si>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</si>
  <si>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</si>
  <si>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</si>
  <si>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</si>
  <si>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</si>
  <si>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</si>
  <si>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</si>
  <si>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Acq of Fixed &amp; Intang</t>
  </si>
  <si>
    <t>ACQUIS_FXD_&amp;_INTANG_DETAILED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</si>
  <si>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</si>
  <si>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</si>
  <si>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</si>
  <si>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</si>
  <si>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</si>
  <si>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</si>
  <si>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Other Investing Activities</t>
  </si>
  <si>
    <t>OTHER_INVESTING_ACT_DETAILED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</si>
  <si>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</si>
  <si>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</si>
  <si>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</si>
  <si>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</si>
  <si>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</si>
  <si>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</si>
  <si>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</si>
  <si>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</si>
  <si>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</si>
  <si>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</si>
  <si>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</si>
  <si>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</si>
  <si>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>CFF_ACTIVITIES_DETAILED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</si>
  <si>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</si>
  <si>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</si>
  <si>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</si>
  <si>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</si>
  <si>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</si>
  <si>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</si>
  <si>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</si>
  <si>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</si>
  <si>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</si>
  <si>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</si>
  <si>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</si>
  <si>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</si>
  <si>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</si>
  <si>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</si>
  <si>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</si>
  <si>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</si>
  <si>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</si>
  <si>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</si>
  <si>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</si>
  <si>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</si>
  <si>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</si>
  <si>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</si>
  <si>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</si>
  <si>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Exxon Mobil Corp (XOM US) - Per Share</t>
  </si>
  <si>
    <t>Basic Shares Outstanding</t>
  </si>
  <si>
    <t>Per Share Data Items</t>
  </si>
  <si>
    <t>REVENUE_PER_SH</t>
  </si>
  <si>
    <t>EBITDA_PER_SH</t>
  </si>
  <si>
    <t>Operating Income</t>
  </si>
  <si>
    <t>OPER_INC_PER_SH</t>
  </si>
  <si>
    <t>Net Income to Common - Basic</t>
  </si>
  <si>
    <t>Net Income before XO - Basic</t>
  </si>
  <si>
    <t>Normalized Net Income - Basic</t>
  </si>
  <si>
    <t>Net Income to Common - Diluted</t>
  </si>
  <si>
    <t>Net Income before XO - Diluted</t>
  </si>
  <si>
    <t>Normalized Net Income - Diluted</t>
  </si>
  <si>
    <t>Dividends</t>
  </si>
  <si>
    <t>Cash Flow</t>
  </si>
  <si>
    <t>CASH_FLOW_PER_SH</t>
  </si>
  <si>
    <t>CASH_ST_INVESTMENTS_PER_SH</t>
  </si>
  <si>
    <t>Book Value</t>
  </si>
  <si>
    <t>BOOK_VAL_PER_SH</t>
  </si>
  <si>
    <t>Tangible Book Value</t>
  </si>
  <si>
    <t>TANG_BOOK_VAL_PER_SH</t>
  </si>
  <si>
    <t>Exxon Mobil Corp (XOM US) - Stock Value</t>
  </si>
  <si>
    <t>Last Price</t>
  </si>
  <si>
    <t>PX_LAST</t>
  </si>
  <si>
    <t xml:space="preserve">  Period-over-Period % Change</t>
  </si>
  <si>
    <t>CHG_PCT_PERIOD</t>
  </si>
  <si>
    <t>Open Price</t>
  </si>
  <si>
    <t>PX_OPEN</t>
  </si>
  <si>
    <t>High Price</t>
  </si>
  <si>
    <t>PX_HIGH</t>
  </si>
  <si>
    <t>Low Price</t>
  </si>
  <si>
    <t>PX_LOW</t>
  </si>
  <si>
    <t>Market Capitalization</t>
  </si>
  <si>
    <t>HISTORICAL_MARKET_CAP</t>
  </si>
  <si>
    <t xml:space="preserve">  Current Shares Outstanding</t>
  </si>
  <si>
    <t>EQY_SH_OUT</t>
  </si>
  <si>
    <t xml:space="preserve">  Equity Float</t>
  </si>
  <si>
    <t>EQY_FLOAT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</si>
</sst>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</cellStyleXfs>
  <cellXfs count="2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4" fontId="8" fillId="34" borderId="2" xfId="58" applyNumberFormat="1" applyFont="1" applyFill="1" applyBorder="1" applyAlignment="1" applyProtection="1">
      <alignment horizontal="right"/>
    </xf>
    <xf numFmtId="171" fontId="11" fillId="34" borderId="2" xfId="59" applyNumberFormat="1" applyFont="1" applyFill="1" applyBorder="1" applyAlignment="1" applyProtection="1">
      <alignment horizontal="right"/>
    </xf>
    <xf numFmtId="4" fontId="11" fillId="34" borderId="2" xfId="60" applyNumberFormat="1" applyFont="1" applyFill="1" applyBorder="1" applyAlignment="1" applyProtection="1">
      <alignment horizontal="right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6"/>
    <cellStyle name="fa_data_bold_1_grouped" xfId="57"/>
    <cellStyle name="fa_data_bold_2_grouped" xfId="58"/>
    <cellStyle name="fa_data_italic_1_grouped" xfId="59"/>
    <cellStyle name="fa_data_italic_2_grouped" xfId="60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118603</v>
        <stp/>
        <stp>##V3_BDHV12</stp>
        <stp>XOM US Equity</stp>
        <stp>EQTY_BEF_MINORITY_INT_DETAILED</stp>
        <stp>FQ3 2007</stp>
        <stp>FQ3 2007</stp>
        <stp>[FA1_ivyerigx.xlsx]Bal Sheet - Standardized!R46C39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3"/>
      </tp>
      <tp>
        <v>72367</v>
        <stp/>
        <stp>##V3_BDHV12</stp>
        <stp>XOM US Equity</stp>
        <stp>EQTY_BEF_MINORITY_INT_DETAILED</stp>
        <stp>FQ1 2002</stp>
        <stp>FQ1 2002</stp>
        <stp>[FA1_ivyerigx.xlsx]Bal Sheet - Standardized!R46C17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3"/>
      </tp>
      <tp>
        <v>107890</v>
        <stp/>
        <stp>##V3_BDHV12</stp>
        <stp>XOM US Equity</stp>
        <stp>EQTY_BEF_MINORITY_INT_DETAILED</stp>
        <stp>FQ3 2005</stp>
        <stp>FQ3 2005</stp>
        <stp>[FA1_ivyerigx.xlsx]Bal Sheet - Standardized!R46C31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3"/>
      </tp>
      <tp>
        <v>93535</v>
        <stp/>
        <stp>##V3_BDHV12</stp>
        <stp>XOM US Equity</stp>
        <stp>EQTY_BEF_MINORITY_INT_DETAILED</stp>
        <stp>FQ2 2004</stp>
        <stp>FQ2 2004</stp>
        <stp>[FA1_ivyerigx.xlsx]Bal Sheet - Standardized!R46C26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3"/>
      </tp>
      <tp>
        <v>116593</v>
        <stp/>
        <stp>##V3_BDHV12</stp>
        <stp>XOM US Equity</stp>
        <stp>EQTY_BEF_MINORITY_INT_DETAILED</stp>
        <stp>FQ3 2006</stp>
        <stp>FQ3 2006</stp>
        <stp>[FA1_ivyerigx.xlsx]Bal Sheet - Standardized!R46C35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3"/>
      </tp>
      <tp>
        <v>121762</v>
        <stp/>
        <stp>##V3_BDHV12</stp>
        <stp>XOM US Equity</stp>
        <stp>EQTY_BEF_MINORITY_INT_DETAILED</stp>
        <stp>FQ4 2007</stp>
        <stp>FQ4 2007</stp>
        <stp>[FA1_ivyerigx.xlsx]Bal Sheet - Standardized!R46C40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3"/>
      </tp>
      <tp>
        <v>71889</v>
        <stp/>
        <stp>##V3_BDHV12</stp>
        <stp>XOM US Equity</stp>
        <stp>EQTY_BEF_MINORITY_INT_DETAILED</stp>
        <stp>FQ1 2001</stp>
        <stp>FQ1 2001</stp>
        <stp>[FA1_ivyerigx.xlsx]Bal Sheet - Standardized!R46C13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3"/>
      </tp>
      <tp>
        <v>82581</v>
        <stp/>
        <stp>##V3_BDHV12</stp>
        <stp>XOM US Equity</stp>
        <stp>EQTY_BEF_MINORITY_INT_DETAILED</stp>
        <stp>FQ2 2003</stp>
        <stp>FQ2 2003</stp>
        <stp>[FA1_ivyerigx.xlsx]Bal Sheet - Standardized!R46C22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3"/>
      </tp>
      <tp>
        <v>2768</v>
        <stp/>
        <stp>##V3_BDHV12</stp>
        <stp>XOM US Equity</stp>
        <stp>MINORITY_NONCONTROLLING_INTEREST</stp>
        <stp>FQ4 2002</stp>
        <stp>FQ4 2002</stp>
        <stp>[FA1_ivyerigx.xlsx]Bal Sheet - Standardized!R47C20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7" s="3"/>
      </tp>
      <tp>
        <v>3382</v>
        <stp/>
        <stp>##V3_BDHV12</stp>
        <stp>XOM US Equity</stp>
        <stp>MINORITY_NONCONTROLLING_INTEREST</stp>
        <stp>FQ4 2003</stp>
        <stp>FQ4 2003</stp>
        <stp>[FA1_ivyerigx.xlsx]Bal Sheet - Standardized!R47C24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7" s="3"/>
      </tp>
      <tp>
        <v>3952</v>
        <stp/>
        <stp>##V3_BDHV12</stp>
        <stp>XOM US Equity</stp>
        <stp>MINORITY_NONCONTROLLING_INTEREST</stp>
        <stp>FQ4 2004</stp>
        <stp>FQ4 2004</stp>
        <stp>[FA1_ivyerigx.xlsx]Bal Sheet - Standardized!R47C28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7" s="3"/>
      </tp>
      <tp>
        <v>0</v>
        <stp/>
        <stp>##V3_BDHV12</stp>
        <stp>XOM US Equity</stp>
        <stp>MINORITY_NONCONTROLLING_INTEREST</stp>
        <stp>FQ2 2008</stp>
        <stp>FQ2 2008</stp>
        <stp>[FA1_ivyerigx.xlsx]Bal Sheet - Standardized!R47C42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7" s="3"/>
      </tp>
      <tp>
        <v>5234</v>
        <stp/>
        <stp>##V3_BDHV12</stp>
        <stp>XOM US Equity</stp>
        <stp>EBIT</stp>
        <stp>FQ1 2000</stp>
        <stp>FQ1 2000</stp>
        <stp>[FA1_ivyerigx.xlsx]Income - Adjusted!R48C9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8" s="2"/>
      </tp>
      <tp>
        <v>5622.5919999999996</v>
        <stp/>
        <stp>##V3_BDHV12</stp>
        <stp>XOM US Equity</stp>
        <stp>EQY_FLOAT</stp>
        <stp>FQ2 2007</stp>
        <stp>FQ2 2007</stp>
        <stp>[FA1_ivyerigx.xlsx]Stock Value!R14C38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4" s="6"/>
      </tp>
      <tp>
        <v>5536.2619999999997</v>
        <stp/>
        <stp>##V3_BDHV12</stp>
        <stp>XOM US Equity</stp>
        <stp>EQY_FLOAT</stp>
        <stp>FQ3 2007</stp>
        <stp>FQ3 2007</stp>
        <stp>[FA1_ivyerigx.xlsx]Stock Value!R14C39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4" s="6"/>
      </tp>
      <tp t="s">
        <v>—</v>
        <stp/>
        <stp>##V3_BDHV12</stp>
        <stp>XOM US Equity</stp>
        <stp>EQY_FLOAT</stp>
        <stp>FQ3 2002</stp>
        <stp>FQ3 2002</stp>
        <stp>[FA1_ivyerigx.xlsx]Stock Value!R14C19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4" s="6"/>
      </tp>
      <tp t="s">
        <v>—</v>
        <stp/>
        <stp>##V3_BDHV12</stp>
        <stp>XOM US Equity</stp>
        <stp>EQY_FLOAT</stp>
        <stp>FQ2 2002</stp>
        <stp>FQ2 2002</stp>
        <stp>[FA1_ivyerigx.xlsx]Stock Value!R14C18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4" s="6"/>
      </tp>
      <tp>
        <v>40327</v>
        <stp/>
        <stp>##V3_BDHV12</stp>
        <stp>XOM US Equity</stp>
        <stp>BS_CUR_ASSET_REPORT</stp>
        <stp>FQ3 2001</stp>
        <stp>FQ3 2001</stp>
        <stp>[FA1_ivyerigx.xlsx]Bal Sheet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3"/>
      </tp>
      <tp>
        <v>78474</v>
        <stp/>
        <stp>##V3_BDHV12</stp>
        <stp>XOM US Equity</stp>
        <stp>BS_CUR_ASSET_REPORT</stp>
        <stp>FQ1 2006</stp>
        <stp>FQ1 2006</stp>
        <stp>[FA1_ivyerigx.xlsx]Bal Sheet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3"/>
      </tp>
      <tp>
        <v>39449</v>
        <stp/>
        <stp>##V3_BDHV12</stp>
        <stp>XOM US Equity</stp>
        <stp>BS_CUR_ASSET_REPORT</stp>
        <stp>FQ3 2000</stp>
        <stp>FQ3 2000</stp>
        <stp>[FA1_ivyerigx.xlsx]Bal Sheet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3"/>
      </tp>
      <tp>
        <v>78065</v>
        <stp/>
        <stp>##V3_BDHV12</stp>
        <stp>XOM US Equity</stp>
        <stp>BS_CUR_ASSET_REPORT</stp>
        <stp>FQ1 2007</stp>
        <stp>FQ1 2007</stp>
        <stp>[FA1_ivyerigx.xlsx]Bal Sheet - Standardized!R18C37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3"/>
      </tp>
      <tp>
        <v>36543</v>
        <stp/>
        <stp>##V3_BDHV12</stp>
        <stp>XOM US Equity</stp>
        <stp>BS_CUR_ASSET_REPORT</stp>
        <stp>FQ3 2002</stp>
        <stp>FQ3 2002</stp>
        <stp>[FA1_ivyerigx.xlsx]Bal Sheet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3"/>
      </tp>
      <tp>
        <v>5283.6940000000004</v>
        <stp/>
        <stp>##V3_BDHV12</stp>
        <stp>XOM US Equity</stp>
        <stp>EQY_SH_OUT</stp>
        <stp>FQ2 2008</stp>
        <stp>FQ2 2008</stp>
        <stp>[FA1_ivyerigx.xlsx]Stock Value!R13C42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3" s="6"/>
      </tp>
      <tp>
        <v>5350.027</v>
        <stp/>
        <stp>##V3_BDHV12</stp>
        <stp>XOM US Equity</stp>
        <stp>EQY_SH_OUT</stp>
        <stp>FQ1 2008</stp>
        <stp>FQ1 2008</stp>
        <stp>[FA1_ivyerigx.xlsx]Stock Value!R13C41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3" s="6"/>
      </tp>
      <tp>
        <v>6609.8</v>
        <stp/>
        <stp>##V3_BDHV12</stp>
        <stp>XOM US Equity</stp>
        <stp>EQY_SH_OUT</stp>
        <stp>FQ4 2003</stp>
        <stp>FQ4 2003</stp>
        <stp>[FA1_ivyerigx.xlsx]Stock Value!R13C24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3" s="6"/>
      </tp>
      <tp>
        <v>6689.8819999999996</v>
        <stp/>
        <stp>##V3_BDHV12</stp>
        <stp>XOM US Equity</stp>
        <stp>EQY_SH_OUT</stp>
        <stp>FQ1 2003</stp>
        <stp>FQ1 2003</stp>
        <stp>[FA1_ivyerigx.xlsx]Stock Value!R13C21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3" s="6"/>
      </tp>
      <tp>
        <v>6636.8549999999996</v>
        <stp/>
        <stp>##V3_BDHV12</stp>
        <stp>XOM US Equity</stp>
        <stp>EQY_SH_OUT</stp>
        <stp>FQ3 2003</stp>
        <stp>FQ3 2003</stp>
        <stp>[FA1_ivyerigx.xlsx]Stock Value!R13C23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3" s="6"/>
      </tp>
      <tp>
        <v>6679.3909999999996</v>
        <stp/>
        <stp>##V3_BDHV12</stp>
        <stp>XOM US Equity</stp>
        <stp>EQY_SH_OUT</stp>
        <stp>FQ2 2003</stp>
        <stp>FQ2 2003</stp>
        <stp>[FA1_ivyerigx.xlsx]Stock Value!R13C22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3" s="6"/>
      </tp>
      <tp>
        <v>6401</v>
        <stp/>
        <stp>##V3_BDHV12</stp>
        <stp>XOM US Equity</stp>
        <stp>BS_SH_OUT</stp>
        <stp>FQ4 2004</stp>
        <stp>FQ4 2004</stp>
        <stp>[FA1_ivyerigx.xlsx]Per Share!R6C28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5"/>
      </tp>
      <tp>
        <v>6729</v>
        <stp/>
        <stp>##V3_BDHV12</stp>
        <stp>XOM US Equity</stp>
        <stp>BS_SH_OUT</stp>
        <stp>FQ3 2002</stp>
        <stp>FQ3 2002</stp>
        <stp>[FA1_ivyerigx.xlsx]Per Share!R6C19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5"/>
      </tp>
      <tp>
        <v>6757</v>
        <stp/>
        <stp>##V3_BDHV12</stp>
        <stp>XOM US Equity</stp>
        <stp>BS_SH_OUT</stp>
        <stp>FQ2 2002</stp>
        <stp>FQ2 2002</stp>
        <stp>[FA1_ivyerigx.xlsx]Per Share!R6C18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5"/>
      </tp>
      <tp>
        <v>5194</v>
        <stp/>
        <stp>##V3_BDHV12</stp>
        <stp>XOM US Equity</stp>
        <stp>BS_SH_OUT</stp>
        <stp>FQ2 2008</stp>
        <stp>FQ2 2008</stp>
        <stp>[FA1_ivyerigx.xlsx]Per Share!R6C42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5"/>
      </tp>
      <tp>
        <v>5283</v>
        <stp/>
        <stp>##V3_BDHV12</stp>
        <stp>XOM US Equity</stp>
        <stp>BS_SH_OUT</stp>
        <stp>FQ1 2008</stp>
        <stp>FQ1 2008</stp>
        <stp>[FA1_ivyerigx.xlsx]Per Share!R6C41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5"/>
      </tp>
      <tp>
        <v>116350</v>
        <stp/>
        <stp>##V3_BDHV12</stp>
        <stp>XOM US Equity</stp>
        <stp>EQTY_BEF_MINORITY_INT_DETAILED</stp>
        <stp>FQ2 2007</stp>
        <stp>FQ2 2007</stp>
        <stp>[FA1_ivyerigx.xlsx]Bal Sheet - Standardized!R46C38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3"/>
      </tp>
      <tp t="s">
        <v>—</v>
        <stp/>
        <stp>##V3_BDHV12</stp>
        <stp>XOM US Equity</stp>
        <stp>ACTUAL_SALES_PER_EMPL</stp>
        <stp>FQ1 2000</stp>
        <stp>FQ1 2000</stp>
        <stp>[FA1_ivyerigx.xlsx]Income - Adjusted!R52C9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2" s="2"/>
      </tp>
      <tp>
        <v>104596</v>
        <stp/>
        <stp>##V3_BDHV12</stp>
        <stp>XOM US Equity</stp>
        <stp>EQTY_BEF_MINORITY_INT_DETAILED</stp>
        <stp>FQ2 2005</stp>
        <stp>FQ2 2005</stp>
        <stp>[FA1_ivyerigx.xlsx]Bal Sheet - Standardized!R46C30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3"/>
      </tp>
      <tp>
        <v>95442</v>
        <stp/>
        <stp>##V3_BDHV12</stp>
        <stp>XOM US Equity</stp>
        <stp>EQTY_BEF_MINORITY_INT_DETAILED</stp>
        <stp>FQ3 2004</stp>
        <stp>FQ3 2004</stp>
        <stp>[FA1_ivyerigx.xlsx]Bal Sheet - Standardized!R46C27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3"/>
      </tp>
      <tp>
        <v>115764</v>
        <stp/>
        <stp>##V3_BDHV12</stp>
        <stp>XOM US Equity</stp>
        <stp>EQTY_BEF_MINORITY_INT_DETAILED</stp>
        <stp>FQ2 2006</stp>
        <stp>FQ2 2006</stp>
        <stp>[FA1_ivyerigx.xlsx]Bal Sheet - Standardized!R46C34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3"/>
      </tp>
      <tp>
        <v>83764</v>
        <stp/>
        <stp>##V3_BDHV12</stp>
        <stp>XOM US Equity</stp>
        <stp>EQTY_BEF_MINORITY_INT_DETAILED</stp>
        <stp>FQ3 2003</stp>
        <stp>FQ3 2003</stp>
        <stp>[FA1_ivyerigx.xlsx]Bal Sheet - Standardized!R46C23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3"/>
      </tp>
      <tp>
        <v>3804</v>
        <stp/>
        <stp>##V3_BDHV12</stp>
        <stp>XOM US Equity</stp>
        <stp>MINORITY_NONCONTROLLING_INTEREST</stp>
        <stp>FQ4 2006</stp>
        <stp>FQ4 2006</stp>
        <stp>[FA1_ivyerigx.xlsx]Bal Sheet - Standardized!R47C36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7" s="3"/>
      </tp>
      <tp>
        <v>3527</v>
        <stp/>
        <stp>##V3_BDHV12</stp>
        <stp>XOM US Equity</stp>
        <stp>MINORITY_NONCONTROLLING_INTEREST</stp>
        <stp>FQ4 2005</stp>
        <stp>FQ4 2005</stp>
        <stp>[FA1_ivyerigx.xlsx]Bal Sheet - Standardized!R47C32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7" s="3"/>
      </tp>
      <tp>
        <v>1.9668999999999999</v>
        <stp/>
        <stp>##V3_BDHV12</stp>
        <stp>XOM US Equity</stp>
        <stp>CASH_FLOW_TO_NET_INC</stp>
        <stp>FQ1 2008</stp>
        <stp>FQ1 2008</stp>
        <stp>[FA1_ivyerigx.xlsx]Cash Flow - Standardized!R51C41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51" s="4"/>
      </tp>
      <tp>
        <v>1.1488</v>
        <stp/>
        <stp>##V3_BDHV12</stp>
        <stp>XOM US Equity</stp>
        <stp>CASH_FLOW_TO_NET_INC</stp>
        <stp>FQ2 2008</stp>
        <stp>FQ2 2008</stp>
        <stp>[FA1_ivyerigx.xlsx]Cash Flow - Standardized!R51C42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51" s="4"/>
      </tp>
      <tp>
        <v>41322</v>
        <stp/>
        <stp>##V3_BDHV12</stp>
        <stp>XOM US Equity</stp>
        <stp>BS_CUR_ASSET_REPORT</stp>
        <stp>FQ2 2001</stp>
        <stp>FQ2 2001</stp>
        <stp>[FA1_ivyerigx.xlsx]Bal Sheet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3"/>
      </tp>
      <tp>
        <v>1.0362</v>
        <stp/>
        <stp>##V3_BDHV12</stp>
        <stp>XOM US Equity</stp>
        <stp>CASH_FLOW_PER_SH</stp>
        <stp>FQ4 1999</stp>
        <stp>FQ4 1999</stp>
        <stp>[FA1_ivyerigx.xlsx]Per Share!R22C8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2" s="5"/>
      </tp>
      <tp t="s">
        <v>—</v>
        <stp/>
        <stp>##V3_BDHV12</stp>
        <stp>XOM US Equity</stp>
        <stp>BS_TOTAL_CAPITAL_LEASES</stp>
        <stp>FQ1 2000</stp>
        <stp>FQ1 2000</stp>
        <stp>[FA1_ivyerigx.xlsx]Bal Sheet - Standardized!R57C9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7" s="3"/>
      </tp>
      <tp>
        <v>45474</v>
        <stp/>
        <stp>##V3_BDHV12</stp>
        <stp>XOM US Equity</stp>
        <stp>BS_CUR_ASSET_REPORT</stp>
        <stp>FQ1 2003</stp>
        <stp>FQ1 2003</stp>
        <stp>[FA1_ivyerigx.xlsx]Bal Sheet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3"/>
      </tp>
      <tp>
        <v>37051</v>
        <stp/>
        <stp>##V3_BDHV12</stp>
        <stp>XOM US Equity</stp>
        <stp>BS_CUR_ASSET_REPORT</stp>
        <stp>FQ2 2000</stp>
        <stp>FQ2 2000</stp>
        <stp>[FA1_ivyerigx.xlsx]Bal Sheet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3.9531999999999998</v>
        <stp/>
        <stp>##V3_BDHV12</stp>
        <stp>XOM US Equity</stp>
        <stp>CASH_ST_INVESTMENTS_PER_SH</stp>
        <stp>FQ1 2005</stp>
        <stp>FQ1 2005</stp>
        <stp>[FA1_ivyerigx.xlsx]Per Share!R25C29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5" s="5"/>
      </tp>
      <tp>
        <v>2.895</v>
        <stp/>
        <stp>##V3_BDHV12</stp>
        <stp>XOM US Equity</stp>
        <stp>CASH_ST_INVESTMENTS_PER_SH</stp>
        <stp>FQ4 2004</stp>
        <stp>FQ4 2004</stp>
        <stp>[FA1_ivyerigx.xlsx]Per Share!R25C28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5" s="5"/>
      </tp>
      <tp>
        <v>52475</v>
        <stp/>
        <stp>##V3_BDHV12</stp>
        <stp>XOM US Equity</stp>
        <stp>BS_CUR_ASSET_REPORT</stp>
        <stp>FQ1 2004</stp>
        <stp>FQ1 2004</stp>
        <stp>[FA1_ivyerigx.xlsx]Bal Sheet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3"/>
      </tp>
      <tp>
        <v>68590</v>
        <stp/>
        <stp>##V3_BDHV12</stp>
        <stp>XOM US Equity</stp>
        <stp>BS_CUR_ASSET_REPORT</stp>
        <stp>FQ1 2005</stp>
        <stp>FQ1 2005</stp>
        <stp>[FA1_ivyerigx.xlsx]Bal Sheet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3"/>
      </tp>
      <tp>
        <v>36137</v>
        <stp/>
        <stp>##V3_BDHV12</stp>
        <stp>XOM US Equity</stp>
        <stp>BS_CUR_ASSET_REPORT</stp>
        <stp>FQ2 2002</stp>
        <stp>FQ2 2002</stp>
        <stp>[FA1_ivyerigx.xlsx]Bal Sheet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3"/>
      </tp>
      <tp>
        <v>2.698</v>
        <stp/>
        <stp>##V3_BDHV12</stp>
        <stp>XOM US Equity</stp>
        <stp>CASH_FLOW_TO_NET_INC</stp>
        <stp>FQ1 1999</stp>
        <stp>FQ1 1999</stp>
        <stp>[FA1_ivyerigx.xlsx]Cash Flow - Standardized!R51C5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51" s="4"/>
      </tp>
      <tp>
        <v>-583</v>
        <stp/>
        <stp>##V3_BDHV12</stp>
        <stp>XOM US Equity</stp>
        <stp>PROC_FR_REPURCH_EQTY_DETAILED</stp>
        <stp>FQ3 1998</stp>
        <stp>FQ3 1998</stp>
        <stp>[FA1_ivyerigx.xlsx]Cash Flow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4"/>
      </tp>
      <tp>
        <v>-709</v>
        <stp/>
        <stp>##V3_BDHV12</stp>
        <stp>XOM US Equity</stp>
        <stp>PROC_FR_REPURCH_EQTY_DETAILED</stp>
        <stp>FQ4 1998</stp>
        <stp>FQ4 1998</stp>
        <stp>[FA1_ivyerigx.xlsx]Cash Flow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4"/>
      </tp>
      <tp>
        <v>-108</v>
        <stp/>
        <stp>##V3_BDHV12</stp>
        <stp>XOM US Equity</stp>
        <stp>PROC_FR_REPURCH_EQTY_DETAILED</stp>
        <stp>FQ1 1999</stp>
        <stp>FQ1 1999</stp>
        <stp>[FA1_ivyerigx.xlsx]Cash Flow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4"/>
      </tp>
      <tp>
        <v>-243</v>
        <stp/>
        <stp>##V3_BDHV12</stp>
        <stp>XOM US Equity</stp>
        <stp>PROC_FR_REPURCH_EQTY_DETAILED</stp>
        <stp>FQ2 1999</stp>
        <stp>FQ2 1999</stp>
        <stp>[FA1_ivyerigx.xlsx]Cash Flow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4"/>
      </tp>
      <tp>
        <v>-63</v>
        <stp/>
        <stp>##V3_BDHV12</stp>
        <stp>XOM US Equity</stp>
        <stp>PROC_FR_REPURCH_EQTY_DETAILED</stp>
        <stp>FQ3 1999</stp>
        <stp>FQ3 1999</stp>
        <stp>[FA1_ivyerigx.xlsx]Cash Flow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4"/>
      </tp>
      <tp>
        <v>1.5775999999999999</v>
        <stp/>
        <stp>##V3_BDHV12</stp>
        <stp>XOM US Equity</stp>
        <stp>CASH_FLOW_TO_NET_INC</stp>
        <stp>FQ1 2000</stp>
        <stp>FQ1 2000</stp>
        <stp>[FA1_ivyerigx.xlsx]Cash Flow - Standardized!R51C9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51" s="4"/>
      </tp>
      <tp>
        <v>15184</v>
        <stp/>
        <stp>##V3_BDHV12</stp>
        <stp>XOM US Equity</stp>
        <stp>IS_COGS_TO_FE_AND_PP_AND_G</stp>
        <stp>FQ3 1998</stp>
        <stp>FQ3 1998</stp>
        <stp>[FA1_ivyerigx.xlsx]Income - Adjusted!R7C3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7" s="2"/>
      </tp>
      <tp t="s">
        <v>—</v>
        <stp/>
        <stp>##V3_BDHV12</stp>
        <stp>XOM US Equity</stp>
        <stp>IS_COGS_TO_FE_AND_PP_AND_G</stp>
        <stp>FQ4 1998</stp>
        <stp>FQ4 1998</stp>
        <stp>[FA1_ivyerigx.xlsx]Income - Adjusted!R7C4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7" s="2"/>
      </tp>
      <tp>
        <v>92</v>
        <stp/>
        <stp>##V3_BDHV12</stp>
        <stp>XOM US Equity</stp>
        <stp>PROC_FR_REPURCH_EQTY_DETAILED</stp>
        <stp>FQ4 1999</stp>
        <stp>FQ4 1999</stp>
        <stp>[FA1_ivyerigx.xlsx]Cash Flow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4"/>
      </tp>
      <tp>
        <v>64605</v>
        <stp/>
        <stp>##V3_BDHV12</stp>
        <stp>XOM US Equity</stp>
        <stp>TOTAL_EQUITY</stp>
        <stp>FQ1 2000</stp>
        <stp>FQ1 2000</stp>
        <stp>[FA1_ivyerigx.xlsx]Bal Sheet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3"/>
      </tp>
      <tp>
        <v>74690</v>
        <stp/>
        <stp>##V3_BDHV12</stp>
        <stp>XOM US Equity</stp>
        <stp>EQTY_BEF_MINORITY_INT_DETAILED</stp>
        <stp>FQ3 2002</stp>
        <stp>FQ3 2002</stp>
        <stp>[FA1_ivyerigx.xlsx]Bal Sheet - Standardized!R46C19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3"/>
      </tp>
      <tp>
        <v>143238</v>
        <stp/>
        <stp>##V3_BDHV12</stp>
        <stp>XOM US Equity</stp>
        <stp>BS_TOT_ASSET</stp>
        <stp>FQ1 2000</stp>
        <stp>FQ1 2000</stp>
        <stp>[FA1_ivyerigx.xlsx]Bal Sheet - Standardized!R27C9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7" s="3"/>
      </tp>
      <tp>
        <v>112463</v>
        <stp/>
        <stp>##V3_BDHV12</stp>
        <stp>XOM US Equity</stp>
        <stp>EQTY_BEF_MINORITY_INT_DETAILED</stp>
        <stp>FQ1 2006</stp>
        <stp>FQ1 2006</stp>
        <stp>[FA1_ivyerigx.xlsx]Bal Sheet - Standardized!R46C33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3"/>
      </tp>
      <tp>
        <v>73825</v>
        <stp/>
        <stp>##V3_BDHV12</stp>
        <stp>XOM US Equity</stp>
        <stp>EQTY_BEF_MINORITY_INT_DETAILED</stp>
        <stp>FQ3 2001</stp>
        <stp>FQ3 2001</stp>
        <stp>[FA1_ivyerigx.xlsx]Bal Sheet - Standardized!R46C15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3"/>
      </tp>
      <tp>
        <v>114110</v>
        <stp/>
        <stp>##V3_BDHV12</stp>
        <stp>XOM US Equity</stp>
        <stp>EQTY_BEF_MINORITY_INT_DETAILED</stp>
        <stp>FQ1 2007</stp>
        <stp>FQ1 2007</stp>
        <stp>[FA1_ivyerigx.xlsx]Bal Sheet - Standardized!R46C37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3"/>
      </tp>
      <tp>
        <v>68111</v>
        <stp/>
        <stp>##V3_BDHV12</stp>
        <stp>XOM US Equity</stp>
        <stp>EQTY_BEF_MINORITY_INT_DETAILED</stp>
        <stp>FQ3 2000</stp>
        <stp>FQ3 2000</stp>
        <stp>[FA1_ivyerigx.xlsx]Bal Sheet - Standardized!R46C11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3"/>
      </tp>
      <tp>
        <v>110858</v>
        <stp/>
        <stp>##V3_BDHV12</stp>
        <stp>XOM US Equity</stp>
        <stp>BS_TOT_NON_CUR_ASSET</stp>
        <stp>FQ1 2000</stp>
        <stp>FQ1 2000</stp>
        <stp>[FA1_ivyerigx.xlsx]Bal Sheet - Standardized!R26C9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3"/>
      </tp>
      <tp>
        <v>18305</v>
        <stp/>
        <stp>##V3_BDHV12</stp>
        <stp>XOM US Equity</stp>
        <stp>BS_LT_INVEST</stp>
        <stp>FQ1 2000</stp>
        <stp>FQ1 2000</stp>
        <stp>[FA1_ivyerigx.xlsx]Bal Sheet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6374.3459999999995</v>
        <stp/>
        <stp>##V3_BDHV12</stp>
        <stp>XOM US Equity</stp>
        <stp>EQY_FLOAT</stp>
        <stp>FQ1 2005</stp>
        <stp>FQ1 2005</stp>
        <stp>[FA1_ivyerigx.xlsx]Stock Value!R14C29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4" s="6"/>
      </tp>
      <tp>
        <v>74730</v>
        <stp/>
        <stp>##V3_BDHV12</stp>
        <stp>XOM US Equity</stp>
        <stp>BS_CUR_ASSET_REPORT</stp>
        <stp>FQ3 2005</stp>
        <stp>FQ3 2005</stp>
        <stp>[FA1_ivyerigx.xlsx]Bal Sheet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3"/>
      </tp>
      <tp>
        <v>35455</v>
        <stp/>
        <stp>##V3_BDHV12</stp>
        <stp>XOM US Equity</stp>
        <stp>BS_CUR_ASSET_REPORT</stp>
        <stp>FQ1 2002</stp>
        <stp>FQ1 2002</stp>
        <stp>[FA1_ivyerigx.xlsx]Bal Sheet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3"/>
      </tp>
      <tp>
        <v>44066</v>
        <stp/>
        <stp>##V3_BDHV12</stp>
        <stp>XOM US Equity</stp>
        <stp>BS_CUR_ASSET_REPORT</stp>
        <stp>FQ2 2003</stp>
        <stp>FQ2 2003</stp>
        <stp>[FA1_ivyerigx.xlsx]Bal Sheet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3"/>
      </tp>
      <tp>
        <v>42527</v>
        <stp/>
        <stp>##V3_BDHV12</stp>
        <stp>XOM US Equity</stp>
        <stp>BS_CUR_ASSET_REPORT</stp>
        <stp>FQ1 2001</stp>
        <stp>FQ1 2001</stp>
        <stp>[FA1_ivyerigx.xlsx]Bal Sheet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3"/>
      </tp>
      <tp>
        <v>85963</v>
        <stp/>
        <stp>##V3_BDHV12</stp>
        <stp>XOM US Equity</stp>
        <stp>BS_CUR_ASSET_REPORT</stp>
        <stp>FQ4 2007</stp>
        <stp>FQ4 2007</stp>
        <stp>[FA1_ivyerigx.xlsx]Bal Sheet - Standardized!R18C40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3"/>
      </tp>
      <tp>
        <v>5.2215999999999996</v>
        <stp/>
        <stp>##V3_BDHV12</stp>
        <stp>XOM US Equity</stp>
        <stp>CASH_ST_INVESTMENTS_PER_SH</stp>
        <stp>FQ2 2007</stp>
        <stp>FQ2 2007</stp>
        <stp>[FA1_ivyerigx.xlsx]Per Share!R25C38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5" s="5"/>
      </tp>
      <tp>
        <v>81753</v>
        <stp/>
        <stp>##V3_BDHV12</stp>
        <stp>XOM US Equity</stp>
        <stp>BS_CUR_ASSET_REPORT</stp>
        <stp>FQ3 2006</stp>
        <stp>FQ3 2006</stp>
        <stp>[FA1_ivyerigx.xlsx]Bal Sheet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3"/>
      </tp>
      <tp>
        <v>54250</v>
        <stp/>
        <stp>##V3_BDHV12</stp>
        <stp>XOM US Equity</stp>
        <stp>BS_CUR_ASSET_REPORT</stp>
        <stp>FQ2 2004</stp>
        <stp>FQ2 2004</stp>
        <stp>[FA1_ivyerigx.xlsx]Bal Sheet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3"/>
      </tp>
      <tp>
        <v>85247</v>
        <stp/>
        <stp>##V3_BDHV12</stp>
        <stp>XOM US Equity</stp>
        <stp>BS_CUR_ASSET_REPORT</stp>
        <stp>FQ3 2007</stp>
        <stp>FQ3 2007</stp>
        <stp>[FA1_ivyerigx.xlsx]Bal Sheet - Standardized!R18C39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3"/>
      </tp>
      <tp>
        <v>1.8988</v>
        <stp/>
        <stp>##V3_BDHV12</stp>
        <stp>XOM US Equity</stp>
        <stp>CASH_FLOW_TO_NET_INC</stp>
        <stp>FQ2 1999</stp>
        <stp>FQ2 1999</stp>
        <stp>[FA1_ivyerigx.xlsx]Cash Flow - Standardized!R51C6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51" s="4"/>
      </tp>
      <tp>
        <v>2.5764</v>
        <stp/>
        <stp>##V3_BDHV12</stp>
        <stp>XOM US Equity</stp>
        <stp>CASH_FLOW_TO_NET_INC</stp>
        <stp>FQ3 1998</stp>
        <stp>FQ3 1998</stp>
        <stp>[FA1_ivyerigx.xlsx]Cash Flow - Standardized!R51C3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51" s="4"/>
      </tp>
      <tp>
        <v>635</v>
        <stp/>
        <stp>##V3_BDHV12</stp>
        <stp>XOM US Equity</stp>
        <stp>CF_ACT_CASH_PAID_FOR_INT_DEBT</stp>
        <stp>FQ4 1999</stp>
        <stp>FQ4 1999</stp>
        <stp>[FA1_ivyerigx.xlsx]Cash Flow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4"/>
      </tp>
      <tp>
        <v>603</v>
        <stp/>
        <stp>##V3_BDHV12</stp>
        <stp>XOM US Equity</stp>
        <stp>CF_ACT_CASH_PAID_FOR_INT_DEBT</stp>
        <stp>FQ4 1998</stp>
        <stp>FQ4 1998</stp>
        <stp>[FA1_ivyerigx.xlsx]Cash Flow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4"/>
      </tp>
      <tp t="s">
        <v>—</v>
        <stp/>
        <stp>##V3_BDHV12</stp>
        <stp>XOM US Equity</stp>
        <stp>CF_ACT_CASH_PAID_FOR_INT_DEBT</stp>
        <stp>FQ3 1998</stp>
        <stp>FQ3 1998</stp>
        <stp>[FA1_ivyerigx.xlsx]Cash Flow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4"/>
      </tp>
      <tp>
        <v>60</v>
        <stp/>
        <stp>##V3_BDHV12</stp>
        <stp>XOM US Equity</stp>
        <stp>CF_ACT_CASH_PAID_FOR_INT_DEBT</stp>
        <stp>FQ1 1999</stp>
        <stp>FQ1 1999</stp>
        <stp>[FA1_ivyerigx.xlsx]Cash Flow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4"/>
      </tp>
      <tp>
        <v>98</v>
        <stp/>
        <stp>##V3_BDHV12</stp>
        <stp>XOM US Equity</stp>
        <stp>CF_ACT_CASH_PAID_FOR_INT_DEBT</stp>
        <stp>FQ3 1999</stp>
        <stp>FQ3 1999</stp>
        <stp>[FA1_ivyerigx.xlsx]Cash Flow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4"/>
      </tp>
      <tp>
        <v>89</v>
        <stp/>
        <stp>##V3_BDHV12</stp>
        <stp>XOM US Equity</stp>
        <stp>CF_ACT_CASH_PAID_FOR_INT_DEBT</stp>
        <stp>FQ2 1999</stp>
        <stp>FQ2 1999</stp>
        <stp>[FA1_ivyerigx.xlsx]Cash Flow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4"/>
      </tp>
      <tp>
        <v>34500</v>
        <stp/>
        <stp>##V3_BDHV12</stp>
        <stp>XOM US Equity</stp>
        <stp>C&amp;CE_AND_STI_DETAILED</stp>
        <stp>FQ4 2007</stp>
        <stp>FQ4 2007</stp>
        <stp>[FA1_ivyerigx.xlsx]Bal Sheet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3"/>
      </tp>
      <tp>
        <v>41393</v>
        <stp/>
        <stp>##V3_BDHV12</stp>
        <stp>XOM US Equity</stp>
        <stp>C&amp;CE_AND_STI_DETAILED</stp>
        <stp>FQ1 2008</stp>
        <stp>FQ1 2008</stp>
        <stp>[FA1_ivyerigx.xlsx]Bal Sheet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3"/>
      </tp>
      <tp>
        <v>39700</v>
        <stp/>
        <stp>##V3_BDHV12</stp>
        <stp>XOM US Equity</stp>
        <stp>C&amp;CE_AND_STI_DETAILED</stp>
        <stp>FQ2 2008</stp>
        <stp>FQ2 2008</stp>
        <stp>[FA1_ivyerigx.xlsx]Bal Sheet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3"/>
      </tp>
      <tp>
        <v>6305.1310000000003</v>
        <stp/>
        <stp>##V3_BDHV12</stp>
        <stp>XOM US Equity</stp>
        <stp>EQY_SH_OUT</stp>
        <stp>FQ3 2005</stp>
        <stp>FQ3 2005</stp>
        <stp>[FA1_ivyerigx.xlsx]Stock Value!R13C31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3" s="6"/>
      </tp>
      <tp>
        <v>6365.7340000000004</v>
        <stp/>
        <stp>##V3_BDHV12</stp>
        <stp>XOM US Equity</stp>
        <stp>EQY_SH_OUT</stp>
        <stp>FQ2 2005</stp>
        <stp>FQ2 2005</stp>
        <stp>[FA1_ivyerigx.xlsx]Stock Value!R13C30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3" s="6"/>
      </tp>
      <tp>
        <v>6106.3329999999996</v>
        <stp/>
        <stp>##V3_BDHV12</stp>
        <stp>XOM US Equity</stp>
        <stp>EQY_SH_OUT</stp>
        <stp>FQ1 2006</stp>
        <stp>FQ1 2006</stp>
        <stp>[FA1_ivyerigx.xlsx]Stock Value!R13C33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3" s="6"/>
      </tp>
      <tp>
        <v>0.6</v>
        <stp/>
        <stp>##V3_BDHV12</stp>
        <stp>XOM US Equity</stp>
        <stp>IS_DIL_EPS_BEF_XO</stp>
        <stp>FQ4 1999</stp>
        <stp>FQ4 1999</stp>
        <stp>[FA1_ivyerigx.xlsx]Per Share!R18C8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8" s="5"/>
      </tp>
      <tp>
        <v>6840</v>
        <stp/>
        <stp>##V3_BDHV12</stp>
        <stp>XOM US Equity</stp>
        <stp>EQY_SH_OUT</stp>
        <stp>FQ4 2001</stp>
        <stp>FQ4 2001</stp>
        <stp>[FA1_ivyerigx.xlsx]Stock Value!R13C16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3" s="6"/>
      </tp>
      <tp>
        <v>6962.2520000000004</v>
        <stp/>
        <stp>##V3_BDHV12</stp>
        <stp>XOM US Equity</stp>
        <stp>EQY_SH_OUT</stp>
        <stp>FQ2 2000</stp>
        <stp>FQ2 2000</stp>
        <stp>[FA1_ivyerigx.xlsx]Stock Value!R13C10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3" s="6"/>
      </tp>
      <tp>
        <v>5832.4880000000003</v>
        <stp/>
        <stp>##V3_BDHV12</stp>
        <stp>XOM US Equity</stp>
        <stp>EQY_SH_OUT</stp>
        <stp>FQ4 2006</stp>
        <stp>FQ4 2006</stp>
        <stp>[FA1_ivyerigx.xlsx]Stock Value!R13C36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3" s="6"/>
      </tp>
      <tp>
        <v>6967.6819999999998</v>
        <stp/>
        <stp>##V3_BDHV12</stp>
        <stp>XOM US Equity</stp>
        <stp>EQY_SH_OUT</stp>
        <stp>FQ3 2000</stp>
        <stp>FQ3 2000</stp>
        <stp>[FA1_ivyerigx.xlsx]Stock Value!R13C11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3" s="6"/>
      </tp>
      <tp>
        <v>6910.8180000000002</v>
        <stp/>
        <stp>##V3_BDHV12</stp>
        <stp>XOM US Equity</stp>
        <stp>EQY_SH_OUT</stp>
        <stp>FQ1 2001</stp>
        <stp>FQ1 2001</stp>
        <stp>[FA1_ivyerigx.xlsx]Stock Value!R13C13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3" s="6"/>
      </tp>
      <tp t="s">
        <v>—</v>
        <stp/>
        <stp>##V3_BDHV12</stp>
        <stp>XOM US Equity</stp>
        <stp>BS_FUTURE_MIN_OPER_LEASE_OBLIG</stp>
        <stp>FQ1 2000</stp>
        <stp>FQ1 2000</stp>
        <stp>[FA1_ivyerigx.xlsx]Bal Sheet - Standardized!R56C9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6" s="3"/>
      </tp>
      <tp>
        <v>103698</v>
        <stp/>
        <stp>##V3_BDHV12</stp>
        <stp>XOM US Equity</stp>
        <stp>EQTY_BEF_MINORITY_INT_DETAILED</stp>
        <stp>FQ1 2005</stp>
        <stp>FQ1 2005</stp>
        <stp>[FA1_ivyerigx.xlsx]Bal Sheet - Standardized!R46C29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3"/>
      </tp>
      <tp>
        <v>75118</v>
        <stp/>
        <stp>##V3_BDHV12</stp>
        <stp>XOM US Equity</stp>
        <stp>EQTY_BEF_MINORITY_INT_DETAILED</stp>
        <stp>FQ2 2002</stp>
        <stp>FQ2 2002</stp>
        <stp>[FA1_ivyerigx.xlsx]Bal Sheet - Standardized!R46C18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3"/>
      </tp>
      <tp>
        <v>72974</v>
        <stp/>
        <stp>##V3_BDHV12</stp>
        <stp>XOM US Equity</stp>
        <stp>EQTY_BEF_MINORITY_INT_DETAILED</stp>
        <stp>FQ2 2001</stp>
        <stp>FQ2 2001</stp>
        <stp>[FA1_ivyerigx.xlsx]Bal Sheet - Standardized!R46C14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3"/>
      </tp>
      <tp>
        <v>91681</v>
        <stp/>
        <stp>##V3_BDHV12</stp>
        <stp>XOM US Equity</stp>
        <stp>EQTY_BEF_MINORITY_INT_DETAILED</stp>
        <stp>FQ1 2004</stp>
        <stp>FQ1 2004</stp>
        <stp>[FA1_ivyerigx.xlsx]Bal Sheet - Standardized!R46C25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3"/>
      </tp>
      <tp>
        <v>66936</v>
        <stp/>
        <stp>##V3_BDHV12</stp>
        <stp>XOM US Equity</stp>
        <stp>EQTY_BEF_MINORITY_INT_DETAILED</stp>
        <stp>FQ2 2000</stp>
        <stp>FQ2 2000</stp>
        <stp>[FA1_ivyerigx.xlsx]Bal Sheet - Standardized!R46C10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3"/>
      </tp>
      <tp>
        <v>79585</v>
        <stp/>
        <stp>##V3_BDHV12</stp>
        <stp>XOM US Equity</stp>
        <stp>EQTY_BEF_MINORITY_INT_DETAILED</stp>
        <stp>FQ1 2003</stp>
        <stp>FQ1 2003</stp>
        <stp>[FA1_ivyerigx.xlsx]Bal Sheet - Standardized!R46C21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3"/>
      </tp>
      <tp>
        <v>3230</v>
        <stp/>
        <stp>##V3_BDHV12</stp>
        <stp>XOM US Equity</stp>
        <stp>MINORITY_NONCONTROLLING_INTEREST</stp>
        <stp>FQ4 2000</stp>
        <stp>FQ4 2000</stp>
        <stp>[FA1_ivyerigx.xlsx]Bal Sheet - Standardized!R47C12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7" s="3"/>
      </tp>
      <tp>
        <v>2825</v>
        <stp/>
        <stp>##V3_BDHV12</stp>
        <stp>XOM US Equity</stp>
        <stp>MINORITY_NONCONTROLLING_INTEREST</stp>
        <stp>FQ4 2001</stp>
        <stp>FQ4 2001</stp>
        <stp>[FA1_ivyerigx.xlsx]Bal Sheet - Standardized!R47C16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7" s="3"/>
      </tp>
      <tp>
        <v>0</v>
        <stp/>
        <stp>##V3_BDHV12</stp>
        <stp>XOM US Equity</stp>
        <stp>MINORITY_NONCONTROLLING_INTEREST</stp>
        <stp>FQ1 2008</stp>
        <stp>FQ1 2008</stp>
        <stp>[FA1_ivyerigx.xlsx]Bal Sheet - Standardized!R47C41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7" s="3"/>
      </tp>
      <tp>
        <v>0.88539999999999996</v>
        <stp/>
        <stp>##V3_BDHV12</stp>
        <stp>XOM US Equity</stp>
        <stp>CUR_RATIO</stp>
        <stp>FQ1 1999</stp>
        <stp>FQ1 1999</stp>
        <stp>[FA1_ivyerigx.xlsx]Bal Sheet - Standardized!R63C5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3" s="3"/>
      </tp>
      <tp>
        <v>0.83350000000000002</v>
        <stp/>
        <stp>##V3_BDHV12</stp>
        <stp>XOM US Equity</stp>
        <stp>CUR_RATIO</stp>
        <stp>FQ2 1999</stp>
        <stp>FQ2 1999</stp>
        <stp>[FA1_ivyerigx.xlsx]Bal Sheet - Standardized!R63C6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3" s="3"/>
      </tp>
      <tp>
        <v>0.83640000000000003</v>
        <stp/>
        <stp>##V3_BDHV12</stp>
        <stp>XOM US Equity</stp>
        <stp>CUR_RATIO</stp>
        <stp>FQ3 1999</stp>
        <stp>FQ3 1999</stp>
        <stp>[FA1_ivyerigx.xlsx]Bal Sheet - Standardized!R63C7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3" s="3"/>
      </tp>
      <tp>
        <v>69630</v>
        <stp/>
        <stp>##V3_BDHV12</stp>
        <stp>XOM US Equity</stp>
        <stp>BS_CUR_ASSET_REPORT</stp>
        <stp>FQ2 2005</stp>
        <stp>FQ2 2005</stp>
        <stp>[FA1_ivyerigx.xlsx]Bal Sheet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3"/>
      </tp>
      <tp>
        <v>4855.57</v>
        <stp/>
        <stp>##V3_BDHV12</stp>
        <stp>XOM US Equity</stp>
        <stp>BS_SH_OUT</stp>
        <stp>FQ3 1999</stp>
        <stp>FQ3 1999</stp>
        <stp>[FA1_ivyerigx.xlsx]Bal Sheet - Standardized!R53C7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3" s="3"/>
      </tp>
      <tp>
        <v>4856</v>
        <stp/>
        <stp>##V3_BDHV12</stp>
        <stp>XOM US Equity</stp>
        <stp>BS_SH_OUT</stp>
        <stp>FQ2 1999</stp>
        <stp>FQ2 1999</stp>
        <stp>[FA1_ivyerigx.xlsx]Bal Sheet - Standardized!R53C6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3" s="3"/>
      </tp>
      <tp>
        <v>4855.5708000000004</v>
        <stp/>
        <stp>##V3_BDHV12</stp>
        <stp>XOM US Equity</stp>
        <stp>BS_SH_OUT</stp>
        <stp>FQ1 1999</stp>
        <stp>FQ1 1999</stp>
        <stp>[FA1_ivyerigx.xlsx]Bal Sheet - Standardized!R53C5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3" s="3"/>
      </tp>
      <tp>
        <v>42958</v>
        <stp/>
        <stp>##V3_BDHV12</stp>
        <stp>XOM US Equity</stp>
        <stp>BS_CUR_ASSET_REPORT</stp>
        <stp>FQ3 2003</stp>
        <stp>FQ3 2003</stp>
        <stp>[FA1_ivyerigx.xlsx]Bal Sheet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3"/>
      </tp>
      <tp>
        <v>5.7866999999999997</v>
        <stp/>
        <stp>##V3_BDHV12</stp>
        <stp>XOM US Equity</stp>
        <stp>CASH_ST_INVESTMENTS_PER_SH</stp>
        <stp>FQ3 2007</stp>
        <stp>FQ3 2007</stp>
        <stp>[FA1_ivyerigx.xlsx]Per Share!R25C39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5" s="5"/>
      </tp>
      <tp>
        <v>80658</v>
        <stp/>
        <stp>##V3_BDHV12</stp>
        <stp>XOM US Equity</stp>
        <stp>BS_CUR_ASSET_REPORT</stp>
        <stp>FQ2 2006</stp>
        <stp>FQ2 2006</stp>
        <stp>[FA1_ivyerigx.xlsx]Bal Sheet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3"/>
      </tp>
      <tp>
        <v>57935</v>
        <stp/>
        <stp>##V3_BDHV12</stp>
        <stp>XOM US Equity</stp>
        <stp>BS_CUR_ASSET_REPORT</stp>
        <stp>FQ3 2004</stp>
        <stp>FQ3 2004</stp>
        <stp>[FA1_ivyerigx.xlsx]Bal Sheet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3"/>
      </tp>
      <tp>
        <v>80720</v>
        <stp/>
        <stp>##V3_BDHV12</stp>
        <stp>XOM US Equity</stp>
        <stp>BS_CUR_ASSET_REPORT</stp>
        <stp>FQ2 2007</stp>
        <stp>FQ2 2007</stp>
        <stp>[FA1_ivyerigx.xlsx]Bal Sheet - Standardized!R18C38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3"/>
      </tp>
      <tp>
        <v>1.8780000000000001</v>
        <stp/>
        <stp>##V3_BDHV12</stp>
        <stp>XOM US Equity</stp>
        <stp>CASH_FLOW_TO_NET_INC</stp>
        <stp>FQ3 1999</stp>
        <stp>FQ3 1999</stp>
        <stp>[FA1_ivyerigx.xlsx]Cash Flow - Standardized!R51C7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51" s="4"/>
      </tp>
      <tp>
        <v>0.39190000000000003</v>
        <stp/>
        <stp>##V3_BDHV12</stp>
        <stp>XOM US Equity</stp>
        <stp>OPER_INC_PER_SH</stp>
        <stp>FQ4 2001</stp>
        <stp>FQ4 2001</stp>
        <stp>[FA1_ivyerigx.xlsx]Per Share!R13C16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3" s="5"/>
      </tp>
      <tp>
        <v>0.72450000000000003</v>
        <stp/>
        <stp>##V3_BDHV12</stp>
        <stp>XOM US Equity</stp>
        <stp>OPER_INC_PER_SH</stp>
        <stp>FQ4 2002</stp>
        <stp>FQ4 2002</stp>
        <stp>[FA1_ivyerigx.xlsx]Per Share!R13C20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3" s="5"/>
      </tp>
      <tp>
        <v>0.84179999999999999</v>
        <stp/>
        <stp>##V3_BDHV12</stp>
        <stp>XOM US Equity</stp>
        <stp>OPER_INC_PER_SH</stp>
        <stp>FQ4 2003</stp>
        <stp>FQ4 2003</stp>
        <stp>[FA1_ivyerigx.xlsx]Per Share!R13C24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3" s="5"/>
      </tp>
      <tp>
        <v>1.1014999999999999</v>
        <stp/>
        <stp>##V3_BDHV12</stp>
        <stp>XOM US Equity</stp>
        <stp>OPER_INC_PER_SH</stp>
        <stp>FQ4 2000</stp>
        <stp>FQ4 2000</stp>
        <stp>[FA1_ivyerigx.xlsx]Per Share!R13C12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3" s="5"/>
      </tp>
      <tp>
        <v>2.8500999999999999</v>
        <stp/>
        <stp>##V3_BDHV12</stp>
        <stp>XOM US Equity</stp>
        <stp>OPER_INC_PER_SH</stp>
        <stp>FQ4 2007</stp>
        <stp>FQ4 2007</stp>
        <stp>[FA1_ivyerigx.xlsx]Per Share!R13C40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3" s="5"/>
      </tp>
      <tp>
        <v>2.2130999999999998</v>
        <stp/>
        <stp>##V3_BDHV12</stp>
        <stp>XOM US Equity</stp>
        <stp>OPER_INC_PER_SH</stp>
        <stp>FQ4 2006</stp>
        <stp>FQ4 2006</stp>
        <stp>[FA1_ivyerigx.xlsx]Per Share!R13C36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3" s="5"/>
      </tp>
      <tp>
        <v>1.7751000000000001</v>
        <stp/>
        <stp>##V3_BDHV12</stp>
        <stp>XOM US Equity</stp>
        <stp>OPER_INC_PER_SH</stp>
        <stp>FQ4 2004</stp>
        <stp>FQ4 2004</stp>
        <stp>[FA1_ivyerigx.xlsx]Per Share!R13C28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3" s="5"/>
      </tp>
      <tp>
        <v>2.4020000000000001</v>
        <stp/>
        <stp>##V3_BDHV12</stp>
        <stp>XOM US Equity</stp>
        <stp>OPER_INC_PER_SH</stp>
        <stp>FQ4 2005</stp>
        <stp>FQ4 2005</stp>
        <stp>[FA1_ivyerigx.xlsx]Per Share!R13C32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3" s="5"/>
      </tp>
      <tp>
        <v>1.9729000000000001</v>
        <stp/>
        <stp>##V3_BDHV12</stp>
        <stp>XOM US Equity</stp>
        <stp>OPER_INC_PER_SH</stp>
        <stp>FQ3 2005</stp>
        <stp>FQ3 2005</stp>
        <stp>[FA1_ivyerigx.xlsx]Per Share!R13C31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3" s="5"/>
      </tp>
      <tp>
        <v>1.3413999999999999</v>
        <stp/>
        <stp>##V3_BDHV12</stp>
        <stp>XOM US Equity</stp>
        <stp>OPER_INC_PER_SH</stp>
        <stp>FQ3 2004</stp>
        <stp>FQ3 2004</stp>
        <stp>[FA1_ivyerigx.xlsx]Per Share!R13C27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3" s="5"/>
      </tp>
      <tp>
        <v>2.6320000000000001</v>
        <stp/>
        <stp>##V3_BDHV12</stp>
        <stp>XOM US Equity</stp>
        <stp>OPER_INC_PER_SH</stp>
        <stp>FQ3 2006</stp>
        <stp>FQ3 2006</stp>
        <stp>[FA1_ivyerigx.xlsx]Per Share!R13C35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3" s="5"/>
      </tp>
      <tp>
        <v>2.5430000000000001</v>
        <stp/>
        <stp>##V3_BDHV12</stp>
        <stp>XOM US Equity</stp>
        <stp>OPER_INC_PER_SH</stp>
        <stp>FQ3 2007</stp>
        <stp>FQ3 2007</stp>
        <stp>[FA1_ivyerigx.xlsx]Per Share!R13C39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3" s="5"/>
      </tp>
      <tp>
        <v>0.57120000000000004</v>
        <stp/>
        <stp>##V3_BDHV12</stp>
        <stp>XOM US Equity</stp>
        <stp>OPER_INC_PER_SH</stp>
        <stp>FQ3 2002</stp>
        <stp>FQ3 2002</stp>
        <stp>[FA1_ivyerigx.xlsx]Per Share!R13C19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3" s="5"/>
      </tp>
      <tp>
        <v>0.88780000000000003</v>
        <stp/>
        <stp>##V3_BDHV12</stp>
        <stp>XOM US Equity</stp>
        <stp>OPER_INC_PER_SH</stp>
        <stp>FQ3 2000</stp>
        <stp>FQ3 2000</stp>
        <stp>[FA1_ivyerigx.xlsx]Per Share!R13C11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3" s="5"/>
      </tp>
      <tp>
        <v>0.75890000000000002</v>
        <stp/>
        <stp>##V3_BDHV12</stp>
        <stp>XOM US Equity</stp>
        <stp>OPER_INC_PER_SH</stp>
        <stp>FQ3 2003</stp>
        <stp>FQ3 2003</stp>
        <stp>[FA1_ivyerigx.xlsx]Per Share!R13C23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3" s="5"/>
      </tp>
      <tp>
        <v>0.67210000000000003</v>
        <stp/>
        <stp>##V3_BDHV12</stp>
        <stp>XOM US Equity</stp>
        <stp>OPER_INC_PER_SH</stp>
        <stp>FQ3 2001</stp>
        <stp>FQ3 2001</stp>
        <stp>[FA1_ivyerigx.xlsx]Per Share!R13C15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3" s="5"/>
      </tp>
      <tp>
        <v>1.7838000000000001</v>
        <stp/>
        <stp>##V3_BDHV12</stp>
        <stp>XOM US Equity</stp>
        <stp>OPER_INC_PER_SH</stp>
        <stp>FQ2 2005</stp>
        <stp>FQ2 2005</stp>
        <stp>[FA1_ivyerigx.xlsx]Per Share!R13C30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3" s="5"/>
      </tp>
      <tp>
        <v>1.2602</v>
        <stp/>
        <stp>##V3_BDHV12</stp>
        <stp>XOM US Equity</stp>
        <stp>OPER_INC_PER_SH</stp>
        <stp>FQ2 2004</stp>
        <stp>FQ2 2004</stp>
        <stp>[FA1_ivyerigx.xlsx]Per Share!R13C26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3" s="5"/>
      </tp>
      <tp>
        <v>2.6859999999999999</v>
        <stp/>
        <stp>##V3_BDHV12</stp>
        <stp>XOM US Equity</stp>
        <stp>OPER_INC_PER_SH</stp>
        <stp>FQ2 2007</stp>
        <stp>FQ2 2007</stp>
        <stp>[FA1_ivyerigx.xlsx]Per Share!R13C38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3" s="5"/>
      </tp>
      <tp>
        <v>2.6048999999999998</v>
        <stp/>
        <stp>##V3_BDHV12</stp>
        <stp>XOM US Equity</stp>
        <stp>OPER_INC_PER_SH</stp>
        <stp>FQ2 2006</stp>
        <stp>FQ2 2006</stp>
        <stp>[FA1_ivyerigx.xlsx]Per Share!R13C34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3" s="5"/>
      </tp>
      <tp>
        <v>0.52769999999999995</v>
        <stp/>
        <stp>##V3_BDHV12</stp>
        <stp>XOM US Equity</stp>
        <stp>OPER_INC_PER_SH</stp>
        <stp>FQ2 2002</stp>
        <stp>FQ2 2002</stp>
        <stp>[FA1_ivyerigx.xlsx]Per Share!R13C18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3" s="5"/>
      </tp>
      <tp>
        <v>0.88749999999999996</v>
        <stp/>
        <stp>##V3_BDHV12</stp>
        <stp>XOM US Equity</stp>
        <stp>OPER_INC_PER_SH</stp>
        <stp>FQ2 2001</stp>
        <stp>FQ2 2001</stp>
        <stp>[FA1_ivyerigx.xlsx]Per Share!R13C14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3" s="5"/>
      </tp>
      <tp>
        <v>0.88970000000000005</v>
        <stp/>
        <stp>##V3_BDHV12</stp>
        <stp>XOM US Equity</stp>
        <stp>OPER_INC_PER_SH</stp>
        <stp>FQ2 2003</stp>
        <stp>FQ2 2003</stp>
        <stp>[FA1_ivyerigx.xlsx]Per Share!R13C22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3" s="5"/>
      </tp>
      <tp>
        <v>0.87960000000000005</v>
        <stp/>
        <stp>##V3_BDHV12</stp>
        <stp>XOM US Equity</stp>
        <stp>OPER_INC_PER_SH</stp>
        <stp>FQ2 2000</stp>
        <stp>FQ2 2000</stp>
        <stp>[FA1_ivyerigx.xlsx]Per Share!R13C10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3" s="5"/>
      </tp>
      <tp>
        <v>3.5074000000000001</v>
        <stp/>
        <stp>##V3_BDHV12</stp>
        <stp>XOM US Equity</stp>
        <stp>OPER_INC_PER_SH</stp>
        <stp>FQ2 2008</stp>
        <stp>FQ2 2008</stp>
        <stp>[FA1_ivyerigx.xlsx]Per Share!R13C42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3" s="5"/>
      </tp>
      <tp>
        <v>2.1659999999999999</v>
        <stp/>
        <stp>##V3_BDHV12</stp>
        <stp>XOM US Equity</stp>
        <stp>OPER_INC_PER_SH</stp>
        <stp>FQ1 2006</stp>
        <stp>FQ1 2006</stp>
        <stp>[FA1_ivyerigx.xlsx]Per Share!R13C33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3" s="5"/>
      </tp>
      <tp>
        <v>2.3660000000000001</v>
        <stp/>
        <stp>##V3_BDHV12</stp>
        <stp>XOM US Equity</stp>
        <stp>OPER_INC_PER_SH</stp>
        <stp>FQ1 2007</stp>
        <stp>FQ1 2007</stp>
        <stp>[FA1_ivyerigx.xlsx]Per Share!R13C37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3" s="5"/>
      </tp>
      <tp>
        <v>1.6461999999999999</v>
        <stp/>
        <stp>##V3_BDHV12</stp>
        <stp>XOM US Equity</stp>
        <stp>OPER_INC_PER_SH</stp>
        <stp>FQ1 2005</stp>
        <stp>FQ1 2005</stp>
        <stp>[FA1_ivyerigx.xlsx]Per Share!R13C29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3" s="5"/>
      </tp>
      <tp>
        <v>1.1647000000000001</v>
        <stp/>
        <stp>##V3_BDHV12</stp>
        <stp>XOM US Equity</stp>
        <stp>OPER_INC_PER_SH</stp>
        <stp>FQ1 2004</stp>
        <stp>FQ1 2004</stp>
        <stp>[FA1_ivyerigx.xlsx]Per Share!R13C25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3" s="5"/>
      </tp>
      <tp>
        <v>1.0026999999999999</v>
        <stp/>
        <stp>##V3_BDHV12</stp>
        <stp>XOM US Equity</stp>
        <stp>OPER_INC_PER_SH</stp>
        <stp>FQ1 2003</stp>
        <stp>FQ1 2003</stp>
        <stp>[FA1_ivyerigx.xlsx]Per Share!R13C21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3" s="5"/>
      </tp>
      <tp>
        <v>1.0714999999999999</v>
        <stp/>
        <stp>##V3_BDHV12</stp>
        <stp>XOM US Equity</stp>
        <stp>OPER_INC_PER_SH</stp>
        <stp>FQ1 2001</stp>
        <stp>FQ1 2001</stp>
        <stp>[FA1_ivyerigx.xlsx]Per Share!R13C13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3" s="5"/>
      </tp>
      <tp>
        <v>0.40260000000000001</v>
        <stp/>
        <stp>##V3_BDHV12</stp>
        <stp>XOM US Equity</stp>
        <stp>OPER_INC_PER_SH</stp>
        <stp>FQ1 2002</stp>
        <stp>FQ1 2002</stp>
        <stp>[FA1_ivyerigx.xlsx]Per Share!R13C17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3" s="5"/>
      </tp>
      <tp>
        <v>3.3569</v>
        <stp/>
        <stp>##V3_BDHV12</stp>
        <stp>XOM US Equity</stp>
        <stp>OPER_INC_PER_SH</stp>
        <stp>FQ1 2008</stp>
        <stp>FQ1 2008</stp>
        <stp>[FA1_ivyerigx.xlsx]Per Share!R13C41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3" s="5"/>
      </tp>
      <tp>
        <v>73245</v>
        <stp/>
        <stp>##V3_BDHV12</stp>
        <stp>XOM US Equity</stp>
        <stp>IS_COGS_TO_FE_AND_PP_AND_G</stp>
        <stp>FQ3 2007</stp>
        <stp>FQ3 2007</stp>
        <stp>[FA1_ivyerigx.xlsx]Income - Adjusted!R7C39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7" s="2"/>
      </tp>
      <tp>
        <v>68187</v>
        <stp/>
        <stp>##V3_BDHV12</stp>
        <stp>XOM US Equity</stp>
        <stp>IS_COGS_TO_FE_AND_PP_AND_G</stp>
        <stp>FQ2 2007</stp>
        <stp>FQ2 2007</stp>
        <stp>[FA1_ivyerigx.xlsx]Income - Adjusted!R7C38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7" s="2"/>
      </tp>
      <tp>
        <v>58135</v>
        <stp/>
        <stp>##V3_BDHV12</stp>
        <stp>XOM US Equity</stp>
        <stp>IS_COGS_TO_FE_AND_PP_AND_G</stp>
        <stp>FQ1 2005</stp>
        <stp>FQ1 2005</stp>
        <stp>[FA1_ivyerigx.xlsx]Income - Adjusted!R7C29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7" s="2"/>
      </tp>
      <tp>
        <v>0</v>
        <stp/>
        <stp>##V3_BDHV12</stp>
        <stp>XOM US Equity</stp>
        <stp>MINORITY_NONCONTROLLING_INTEREST</stp>
        <stp>FQ1 2006</stp>
        <stp>FQ1 2006</stp>
        <stp>[FA1_ivyerigx.xlsx]Bal Sheet - Standardized!R47C33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7" s="3"/>
      </tp>
      <tp>
        <v>0</v>
        <stp/>
        <stp>##V3_BDHV12</stp>
        <stp>XOM US Equity</stp>
        <stp>MINORITY_NONCONTROLLING_INTEREST</stp>
        <stp>FQ3 2001</stp>
        <stp>FQ3 2001</stp>
        <stp>[FA1_ivyerigx.xlsx]Bal Sheet - Standardized!R47C15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7" s="3"/>
      </tp>
      <tp>
        <v>0</v>
        <stp/>
        <stp>##V3_BDHV12</stp>
        <stp>XOM US Equity</stp>
        <stp>MINORITY_NONCONTROLLING_INTEREST</stp>
        <stp>FQ1 2007</stp>
        <stp>FQ1 2007</stp>
        <stp>[FA1_ivyerigx.xlsx]Bal Sheet - Standardized!R47C37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7" s="3"/>
      </tp>
      <tp>
        <v>0</v>
        <stp/>
        <stp>##V3_BDHV12</stp>
        <stp>XOM US Equity</stp>
        <stp>MINORITY_NONCONTROLLING_INTEREST</stp>
        <stp>FQ3 2000</stp>
        <stp>FQ3 2000</stp>
        <stp>[FA1_ivyerigx.xlsx]Bal Sheet - Standardized!R47C11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7" s="3"/>
      </tp>
      <tp>
        <v>0</v>
        <stp/>
        <stp>##V3_BDHV12</stp>
        <stp>XOM US Equity</stp>
        <stp>MINORITY_NONCONTROLLING_INTEREST</stp>
        <stp>FQ3 2002</stp>
        <stp>FQ3 2002</stp>
        <stp>[FA1_ivyerigx.xlsx]Bal Sheet - Standardized!R47C19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7" s="3"/>
      </tp>
      <tp>
        <v>5916</v>
        <stp/>
        <stp>##V3_BDHV12</stp>
        <stp>XOM US Equity</stp>
        <stp>EBIT</stp>
        <stp>FQ4 1999</stp>
        <stp>FQ4 1999</stp>
        <stp>[FA1_ivyerigx.xlsx]Income - Adjusted!R48C8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8" s="2"/>
      </tp>
      <tp>
        <v>38291</v>
        <stp/>
        <stp>##V3_BDHV12</stp>
        <stp>XOM US Equity</stp>
        <stp>BS_CUR_ASSET_REPORT</stp>
        <stp>FQ4 2002</stp>
        <stp>FQ4 2002</stp>
        <stp>[FA1_ivyerigx.xlsx]Bal Sheet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3"/>
      </tp>
      <tp>
        <v>45960</v>
        <stp/>
        <stp>##V3_BDHV12</stp>
        <stp>XOM US Equity</stp>
        <stp>BS_CUR_ASSET_REPORT</stp>
        <stp>FQ4 2003</stp>
        <stp>FQ4 2003</stp>
        <stp>[FA1_ivyerigx.xlsx]Bal Sheet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3"/>
      </tp>
      <tp>
        <v>7.8350999999999997</v>
        <stp/>
        <stp>##V3_BDHV12</stp>
        <stp>XOM US Equity</stp>
        <stp>CASH_ST_INVESTMENTS_PER_SH</stp>
        <stp>FQ1 2008</stp>
        <stp>FQ1 2008</stp>
        <stp>[FA1_ivyerigx.xlsx]Per Share!R25C41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5" s="5"/>
      </tp>
      <tp>
        <v>60377</v>
        <stp/>
        <stp>##V3_BDHV12</stp>
        <stp>XOM US Equity</stp>
        <stp>BS_CUR_ASSET_REPORT</stp>
        <stp>FQ4 2004</stp>
        <stp>FQ4 2004</stp>
        <stp>[FA1_ivyerigx.xlsx]Bal Sheet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3"/>
      </tp>
      <tp>
        <v>103982</v>
        <stp/>
        <stp>##V3_BDHV12</stp>
        <stp>XOM US Equity</stp>
        <stp>BS_CUR_ASSET_REPORT</stp>
        <stp>FQ2 2008</stp>
        <stp>FQ2 2008</stp>
        <stp>[FA1_ivyerigx.xlsx]Bal Sheet - Standardized!R18C42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3"/>
      </tp>
      <tp>
        <v>1.7099</v>
        <stp/>
        <stp>##V3_BDHV12</stp>
        <stp>XOM US Equity</stp>
        <stp>CASH_FLOW_TO_NET_INC</stp>
        <stp>FQ4 1999</stp>
        <stp>FQ4 1999</stp>
        <stp>[FA1_ivyerigx.xlsx]Cash Flow - Standardized!R51C8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51" s="4"/>
      </tp>
      <tp>
        <v>15894</v>
        <stp/>
        <stp>##V3_BDHV12</stp>
        <stp>XOM US Equity</stp>
        <stp>C&amp;CE_AND_STI_DETAILED</stp>
        <stp>FQ1 2004</stp>
        <stp>FQ1 2004</stp>
        <stp>[FA1_ivyerigx.xlsx]Bal Sheet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3"/>
      </tp>
      <tp>
        <v>16108</v>
        <stp/>
        <stp>##V3_BDHV12</stp>
        <stp>XOM US Equity</stp>
        <stp>C&amp;CE_AND_STI_DETAILED</stp>
        <stp>FQ3 2004</stp>
        <stp>FQ3 2004</stp>
        <stp>[FA1_ivyerigx.xlsx]Bal Sheet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3"/>
      </tp>
      <tp>
        <v>7229</v>
        <stp/>
        <stp>##V3_BDHV12</stp>
        <stp>XOM US Equity</stp>
        <stp>C&amp;CE_AND_STI_DETAILED</stp>
        <stp>FQ4 2002</stp>
        <stp>FQ4 2002</stp>
        <stp>[FA1_ivyerigx.xlsx]Bal Sheet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3"/>
      </tp>
      <tp>
        <v>14177</v>
        <stp/>
        <stp>##V3_BDHV12</stp>
        <stp>XOM US Equity</stp>
        <stp>C&amp;CE_AND_STI_DETAILED</stp>
        <stp>FQ2 2004</stp>
        <stp>FQ2 2004</stp>
        <stp>[FA1_ivyerigx.xlsx]Bal Sheet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3"/>
      </tp>
      <tp>
        <v>10626</v>
        <stp/>
        <stp>##V3_BDHV12</stp>
        <stp>XOM US Equity</stp>
        <stp>C&amp;CE_AND_STI_DETAILED</stp>
        <stp>FQ4 2003</stp>
        <stp>FQ4 2003</stp>
        <stp>[FA1_ivyerigx.xlsx]Bal Sheet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3"/>
      </tp>
      <tp>
        <v>12521</v>
        <stp/>
        <stp>##V3_BDHV12</stp>
        <stp>XOM US Equity</stp>
        <stp>C&amp;CE_AND_STI_DETAILED</stp>
        <stp>FQ2 2003</stp>
        <stp>FQ2 2003</stp>
        <stp>[FA1_ivyerigx.xlsx]Bal Sheet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3"/>
      </tp>
      <tp>
        <v>11015</v>
        <stp/>
        <stp>##V3_BDHV12</stp>
        <stp>XOM US Equity</stp>
        <stp>C&amp;CE_AND_STI_DETAILED</stp>
        <stp>FQ3 2003</stp>
        <stp>FQ3 2003</stp>
        <stp>[FA1_ivyerigx.xlsx]Bal Sheet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3"/>
      </tp>
      <tp>
        <v>12328</v>
        <stp/>
        <stp>##V3_BDHV12</stp>
        <stp>XOM US Equity</stp>
        <stp>C&amp;CE_AND_STI_DETAILED</stp>
        <stp>FQ1 2003</stp>
        <stp>FQ1 2003</stp>
        <stp>[FA1_ivyerigx.xlsx]Bal Sheet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3"/>
      </tp>
      <tp>
        <v>6728.8980000000001</v>
        <stp/>
        <stp>##V3_BDHV12</stp>
        <stp>XOM US Equity</stp>
        <stp>EQY_SH_OUT</stp>
        <stp>FQ4 2002</stp>
        <stp>FQ4 2002</stp>
        <stp>[FA1_ivyerigx.xlsx]Stock Value!R13C20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3" s="6"/>
      </tp>
      <tp>
        <v>6540.0460000000003</v>
        <stp/>
        <stp>##V3_BDHV12</stp>
        <stp>XOM US Equity</stp>
        <stp>EQY_SH_OUT</stp>
        <stp>FQ2 2004</stp>
        <stp>FQ2 2004</stp>
        <stp>[FA1_ivyerigx.xlsx]Stock Value!R13C26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3" s="6"/>
      </tp>
      <tp>
        <v>6505.5069999999996</v>
        <stp/>
        <stp>##V3_BDHV12</stp>
        <stp>XOM US Equity</stp>
        <stp>EQY_SH_OUT</stp>
        <stp>FQ3 2004</stp>
        <stp>FQ3 2004</stp>
        <stp>[FA1_ivyerigx.xlsx]Stock Value!R13C27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3" s="6"/>
      </tp>
      <tp>
        <v>18531</v>
        <stp/>
        <stp>##V3_BDHV12</stp>
        <stp>XOM US Equity</stp>
        <stp>C&amp;CE_AND_STI_DETAILED</stp>
        <stp>FQ4 2004</stp>
        <stp>FQ4 2004</stp>
        <stp>[FA1_ivyerigx.xlsx]Bal Sheet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3"/>
      </tp>
      <tp>
        <v>6557.5230000000001</v>
        <stp/>
        <stp>##V3_BDHV12</stp>
        <stp>XOM US Equity</stp>
        <stp>EQY_SH_OUT</stp>
        <stp>FQ1 2004</stp>
        <stp>FQ1 2004</stp>
        <stp>[FA1_ivyerigx.xlsx]Stock Value!R13C25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3" s="6"/>
      </tp>
      <tp>
        <v>5463.625</v>
        <stp/>
        <stp>##V3_BDHV12</stp>
        <stp>XOM US Equity</stp>
        <stp>EQY_SH_OUT</stp>
        <stp>FQ4 2007</stp>
        <stp>FQ4 2007</stp>
        <stp>[FA1_ivyerigx.xlsx]Stock Value!R13C40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3" s="6"/>
      </tp>
      <tp>
        <v>25165</v>
        <stp/>
        <stp>##V3_BDHV12</stp>
        <stp>XOM US Equity</stp>
        <stp>C&amp;CE_AND_STI_DETAILED</stp>
        <stp>FQ1 2005</stp>
        <stp>FQ1 2005</stp>
        <stp>[FA1_ivyerigx.xlsx]Bal Sheet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3"/>
      </tp>
      <tp>
        <v>123139</v>
        <stp/>
        <stp>##V3_BDHV12</stp>
        <stp>XOM US Equity</stp>
        <stp>EQTY_BEF_MINORITY_INT_DETAILED</stp>
        <stp>FQ1 2008</stp>
        <stp>FQ1 2008</stp>
        <stp>[FA1_ivyerigx.xlsx]Bal Sheet - Standardized!R46C41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3"/>
      </tp>
      <tp>
        <v>0</v>
        <stp/>
        <stp>##V3_BDHV12</stp>
        <stp>XOM US Equity</stp>
        <stp>XO_GL_NET_OF_TAX</stp>
        <stp>FQ2 2008</stp>
        <stp>FQ2 2008</stp>
        <stp>[FA1_ivyerigx.xlsx]Income - Adjusted!R21C42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2"/>
      </tp>
      <tp>
        <v>70757</v>
        <stp/>
        <stp>##V3_BDHV12</stp>
        <stp>XOM US Equity</stp>
        <stp>EQTY_BEF_MINORITY_INT_DETAILED</stp>
        <stp>FQ4 2000</stp>
        <stp>FQ4 2000</stp>
        <stp>[FA1_ivyerigx.xlsx]Bal Sheet - Standardized!R46C12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3"/>
      </tp>
      <tp>
        <v>0</v>
        <stp/>
        <stp>##V3_BDHV12</stp>
        <stp>XOM US Equity</stp>
        <stp>XO_GL_NET_OF_TAX</stp>
        <stp>FQ2 2008</stp>
        <stp>FQ2 2008</stp>
        <stp>[FA1_ivyerigx.xlsx]Income - Adjusted!R31C42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2"/>
      </tp>
      <tp>
        <v>73161</v>
        <stp/>
        <stp>##V3_BDHV12</stp>
        <stp>XOM US Equity</stp>
        <stp>EQTY_BEF_MINORITY_INT_DETAILED</stp>
        <stp>FQ4 2001</stp>
        <stp>FQ4 2001</stp>
        <stp>[FA1_ivyerigx.xlsx]Bal Sheet - Standardized!R46C16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3"/>
      </tp>
      <tp>
        <v>0</v>
        <stp/>
        <stp>##V3_BDHV12</stp>
        <stp>XOM US Equity</stp>
        <stp>MINORITY_NONCONTROLLING_INTEREST</stp>
        <stp>FQ2 2001</stp>
        <stp>FQ2 2001</stp>
        <stp>[FA1_ivyerigx.xlsx]Bal Sheet - Standardized!R47C14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7" s="3"/>
      </tp>
      <tp>
        <v>0</v>
        <stp/>
        <stp>##V3_BDHV12</stp>
        <stp>XOM US Equity</stp>
        <stp>MINORITY_NONCONTROLLING_INTEREST</stp>
        <stp>FQ1 2004</stp>
        <stp>FQ1 2004</stp>
        <stp>[FA1_ivyerigx.xlsx]Bal Sheet - Standardized!R47C25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7" s="3"/>
      </tp>
      <tp>
        <v>0</v>
        <stp/>
        <stp>##V3_BDHV12</stp>
        <stp>XOM US Equity</stp>
        <stp>MINORITY_NONCONTROLLING_INTEREST</stp>
        <stp>FQ1 2003</stp>
        <stp>FQ1 2003</stp>
        <stp>[FA1_ivyerigx.xlsx]Bal Sheet - Standardized!R47C21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7" s="3"/>
      </tp>
      <tp>
        <v>0</v>
        <stp/>
        <stp>##V3_BDHV12</stp>
        <stp>XOM US Equity</stp>
        <stp>MINORITY_NONCONTROLLING_INTEREST</stp>
        <stp>FQ2 2000</stp>
        <stp>FQ2 2000</stp>
        <stp>[FA1_ivyerigx.xlsx]Bal Sheet - Standardized!R47C10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7" s="3"/>
      </tp>
      <tp>
        <v>0</v>
        <stp/>
        <stp>##V3_BDHV12</stp>
        <stp>XOM US Equity</stp>
        <stp>MINORITY_NONCONTROLLING_INTEREST</stp>
        <stp>FQ1 2005</stp>
        <stp>FQ1 2005</stp>
        <stp>[FA1_ivyerigx.xlsx]Bal Sheet - Standardized!R47C29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7" s="3"/>
      </tp>
      <tp>
        <v>0</v>
        <stp/>
        <stp>##V3_BDHV12</stp>
        <stp>XOM US Equity</stp>
        <stp>MINORITY_NONCONTROLLING_INTEREST</stp>
        <stp>FQ2 2002</stp>
        <stp>FQ2 2002</stp>
        <stp>[FA1_ivyerigx.xlsx]Bal Sheet - Standardized!R47C18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7" s="3"/>
      </tp>
      <tp>
        <v>25631</v>
        <stp/>
        <stp>##V3_BDHV12</stp>
        <stp>XOM US Equity</stp>
        <stp>BS_ACCT_PAYABLE</stp>
        <stp>FQ1 2000</stp>
        <stp>FQ1 2000</stp>
        <stp>[FA1_ivyerigx.xlsx]Bal Sheet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3"/>
      </tp>
      <tp>
        <v>75777</v>
        <stp/>
        <stp>##V3_BDHV12</stp>
        <stp>XOM US Equity</stp>
        <stp>BS_CUR_ASSET_REPORT</stp>
        <stp>FQ4 2006</stp>
        <stp>FQ4 2006</stp>
        <stp>[FA1_ivyerigx.xlsx]Bal Sheet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3"/>
      </tp>
      <tp>
        <v>73342</v>
        <stp/>
        <stp>##V3_BDHV12</stp>
        <stp>XOM US Equity</stp>
        <stp>BS_CUR_ASSET_REPORT</stp>
        <stp>FQ4 2005</stp>
        <stp>FQ4 2005</stp>
        <stp>[FA1_ivyerigx.xlsx]Bal Sheet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3"/>
      </tp>
      <tp>
        <v>-7.5079000000000002</v>
        <stp/>
        <stp>##V3_BDHV12</stp>
        <stp>XOM US Equity</stp>
        <stp>CASH_CONVERSION_CYCLE</stp>
        <stp>FQ1 2008</stp>
        <stp>FQ1 2008</stp>
        <stp>[FA1_ivyerigx.xlsx]Bal Sheet - Standardized!R64C41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64" s="3"/>
      </tp>
      <tp>
        <v>-7.3483999999999998</v>
        <stp/>
        <stp>##V3_BDHV12</stp>
        <stp>XOM US Equity</stp>
        <stp>CASH_CONVERSION_CYCLE</stp>
        <stp>FQ2 2008</stp>
        <stp>FQ2 2008</stp>
        <stp>[FA1_ivyerigx.xlsx]Bal Sheet - Standardized!R64C42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64" s="3"/>
      </tp>
      <tp>
        <v>0.78920000000000001</v>
        <stp/>
        <stp>##V3_BDHV12</stp>
        <stp>XOM US Equity</stp>
        <stp>CASH_FLOW_PER_SH</stp>
        <stp>FQ1 2000</stp>
        <stp>FQ1 2000</stp>
        <stp>[FA1_ivyerigx.xlsx]Per Share!R22C9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2" s="5"/>
      </tp>
      <tp>
        <v>4.6300999999999997</v>
        <stp/>
        <stp>##V3_BDHV12</stp>
        <stp>XOM US Equity</stp>
        <stp>CASH_FLOW_TO_NET_INC</stp>
        <stp>FQ4 1998</stp>
        <stp>FQ4 1998</stp>
        <stp>[FA1_ivyerigx.xlsx]Cash Flow - Standardized!R51C4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51" s="4"/>
      </tp>
      <tp>
        <v>14462</v>
        <stp/>
        <stp>##V3_BDHV12</stp>
        <stp>XOM US Equity</stp>
        <stp>IS_COGS_TO_FE_AND_PP_AND_G</stp>
        <stp>FQ1 1999</stp>
        <stp>FQ1 1999</stp>
        <stp>[FA1_ivyerigx.xlsx]Income - Adjusted!R7C5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7" s="2"/>
      </tp>
      <tp>
        <v>19271</v>
        <stp/>
        <stp>##V3_BDHV12</stp>
        <stp>XOM US Equity</stp>
        <stp>IS_COGS_TO_FE_AND_PP_AND_G</stp>
        <stp>FQ3 1999</stp>
        <stp>FQ3 1999</stp>
        <stp>[FA1_ivyerigx.xlsx]Income - Adjusted!R7C7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7" s="2"/>
      </tp>
      <tp>
        <v>16076</v>
        <stp/>
        <stp>##V3_BDHV12</stp>
        <stp>XOM US Equity</stp>
        <stp>IS_COGS_TO_FE_AND_PP_AND_G</stp>
        <stp>FQ2 1999</stp>
        <stp>FQ2 1999</stp>
        <stp>[FA1_ivyerigx.xlsx]Income - Adjusted!R7C6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7" s="2"/>
      </tp>
      <tp>
        <v>78633</v>
        <stp/>
        <stp>##V3_BDHV12</stp>
        <stp>XOM US Equity</stp>
        <stp>BS_TOT_LIAB2</stp>
        <stp>FQ1 2000</stp>
        <stp>FQ1 2000</stp>
        <stp>[FA1_ivyerigx.xlsx]Bal Sheet - Standardized!R40C9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0" s="3"/>
      </tp>
      <tp>
        <v>32734</v>
        <stp/>
        <stp>##V3_BDHV12</stp>
        <stp>XOM US Equity</stp>
        <stp>C&amp;CE_AND_STI_DETAILED</stp>
        <stp>FQ3 2006</stp>
        <stp>FQ3 2006</stp>
        <stp>[FA1_ivyerigx.xlsx]Bal Sheet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3"/>
      </tp>
      <tp>
        <v>32113</v>
        <stp/>
        <stp>##V3_BDHV12</stp>
        <stp>XOM US Equity</stp>
        <stp>C&amp;CE_AND_STI_DETAILED</stp>
        <stp>FQ2 2006</stp>
        <stp>FQ2 2006</stp>
        <stp>[FA1_ivyerigx.xlsx]Bal Sheet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3"/>
      </tp>
      <tp>
        <v>29994</v>
        <stp/>
        <stp>##V3_BDHV12</stp>
        <stp>XOM US Equity</stp>
        <stp>C&amp;CE_AND_STI_DETAILED</stp>
        <stp>FQ1 2007</stp>
        <stp>FQ1 2007</stp>
        <stp>[FA1_ivyerigx.xlsx]Bal Sheet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3"/>
      </tp>
      <tp>
        <v>28671</v>
        <stp/>
        <stp>##V3_BDHV12</stp>
        <stp>XOM US Equity</stp>
        <stp>C&amp;CE_AND_STI_DETAILED</stp>
        <stp>FQ4 2005</stp>
        <stp>FQ4 2005</stp>
        <stp>[FA1_ivyerigx.xlsx]Bal Sheet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3"/>
      </tp>
      <tp>
        <v>25648</v>
        <stp/>
        <stp>##V3_BDHV12</stp>
        <stp>XOM US Equity</stp>
        <stp>C&amp;CE_AND_STI_DETAILED</stp>
        <stp>FQ2 2005</stp>
        <stp>FQ2 2005</stp>
        <stp>[FA1_ivyerigx.xlsx]Bal Sheet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3"/>
      </tp>
      <tp>
        <v>31945</v>
        <stp/>
        <stp>##V3_BDHV12</stp>
        <stp>XOM US Equity</stp>
        <stp>C&amp;CE_AND_STI_DETAILED</stp>
        <stp>FQ1 2006</stp>
        <stp>FQ1 2006</stp>
        <stp>[FA1_ivyerigx.xlsx]Bal Sheet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3"/>
      </tp>
      <tp>
        <v>29240</v>
        <stp/>
        <stp>##V3_BDHV12</stp>
        <stp>XOM US Equity</stp>
        <stp>C&amp;CE_AND_STI_DETAILED</stp>
        <stp>FQ3 2005</stp>
        <stp>FQ3 2005</stp>
        <stp>[FA1_ivyerigx.xlsx]Bal Sheet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3"/>
      </tp>
      <tp>
        <v>28244</v>
        <stp/>
        <stp>##V3_BDHV12</stp>
        <stp>XOM US Equity</stp>
        <stp>C&amp;CE_AND_STI_DETAILED</stp>
        <stp>FQ4 2006</stp>
        <stp>FQ4 2006</stp>
        <stp>[FA1_ivyerigx.xlsx]Bal Sheet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3"/>
      </tp>
      <tp>
        <v>28959</v>
        <stp/>
        <stp>##V3_BDHV12</stp>
        <stp>XOM US Equity</stp>
        <stp>C&amp;CE_AND_STI_DETAILED</stp>
        <stp>FQ2 2007</stp>
        <stp>FQ2 2007</stp>
        <stp>[FA1_ivyerigx.xlsx]Bal Sheet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3"/>
      </tp>
      <tp>
        <v>31613</v>
        <stp/>
        <stp>##V3_BDHV12</stp>
        <stp>XOM US Equity</stp>
        <stp>C&amp;CE_AND_STI_DETAILED</stp>
        <stp>FQ3 2007</stp>
        <stp>FQ3 2007</stp>
        <stp>[FA1_ivyerigx.xlsx]Bal Sheet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3"/>
      </tp>
      <tp>
        <v>5463</v>
        <stp/>
        <stp>##V3_BDHV12</stp>
        <stp>XOM US Equity</stp>
        <stp>BS_SH_OUT</stp>
        <stp>FQ3 2007</stp>
        <stp>FQ3 2007</stp>
        <stp>[FA1_ivyerigx.xlsx]Per Share!R6C39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5"/>
      </tp>
      <tp>
        <v>5546</v>
        <stp/>
        <stp>##V3_BDHV12</stp>
        <stp>XOM US Equity</stp>
        <stp>BS_SH_OUT</stp>
        <stp>FQ2 2007</stp>
        <stp>FQ2 2007</stp>
        <stp>[FA1_ivyerigx.xlsx]Per Share!R6C38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5"/>
      </tp>
      <tp>
        <v>6365.7344999999996</v>
        <stp/>
        <stp>##V3_BDHV12</stp>
        <stp>XOM US Equity</stp>
        <stp>BS_SH_OUT</stp>
        <stp>FQ1 2005</stp>
        <stp>FQ1 2005</stp>
        <stp>[FA1_ivyerigx.xlsx]Per Share!R6C29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5"/>
      </tp>
      <tp>
        <v>101756</v>
        <stp/>
        <stp>##V3_BDHV12</stp>
        <stp>XOM US Equity</stp>
        <stp>EQTY_BEF_MINORITY_INT_DETAILED</stp>
        <stp>FQ4 2004</stp>
        <stp>FQ4 2004</stp>
        <stp>[FA1_ivyerigx.xlsx]Bal Sheet - Standardized!R46C28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3"/>
      </tp>
      <tp>
        <v>124826</v>
        <stp/>
        <stp>##V3_BDHV12</stp>
        <stp>XOM US Equity</stp>
        <stp>EQTY_BEF_MINORITY_INT_DETAILED</stp>
        <stp>FQ2 2008</stp>
        <stp>FQ2 2008</stp>
        <stp>[FA1_ivyerigx.xlsx]Bal Sheet - Standardized!R46C42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3"/>
      </tp>
      <tp>
        <v>0</v>
        <stp/>
        <stp>##V3_BDHV12</stp>
        <stp>XOM US Equity</stp>
        <stp>XO_GL_NET_OF_TAX</stp>
        <stp>FQ1 2008</stp>
        <stp>FQ1 2008</stp>
        <stp>[FA1_ivyerigx.xlsx]Income - Adjusted!R31C41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2"/>
      </tp>
      <tp>
        <v>0</v>
        <stp/>
        <stp>##V3_BDHV12</stp>
        <stp>XOM US Equity</stp>
        <stp>XO_GL_NET_OF_TAX</stp>
        <stp>FQ1 2008</stp>
        <stp>FQ1 2008</stp>
        <stp>[FA1_ivyerigx.xlsx]Income - Adjusted!R21C41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2"/>
      </tp>
      <tp>
        <v>74597</v>
        <stp/>
        <stp>##V3_BDHV12</stp>
        <stp>XOM US Equity</stp>
        <stp>EQTY_BEF_MINORITY_INT_DETAILED</stp>
        <stp>FQ4 2002</stp>
        <stp>FQ4 2002</stp>
        <stp>[FA1_ivyerigx.xlsx]Bal Sheet - Standardized!R46C20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3"/>
      </tp>
      <tp>
        <v>89915</v>
        <stp/>
        <stp>##V3_BDHV12</stp>
        <stp>XOM US Equity</stp>
        <stp>EQTY_BEF_MINORITY_INT_DETAILED</stp>
        <stp>FQ4 2003</stp>
        <stp>FQ4 2003</stp>
        <stp>[FA1_ivyerigx.xlsx]Bal Sheet - Standardized!R46C24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3"/>
      </tp>
      <tp>
        <v>0</v>
        <stp/>
        <stp>##V3_BDHV12</stp>
        <stp>XOM US Equity</stp>
        <stp>MINORITY_NONCONTROLLING_INTEREST</stp>
        <stp>FQ1 2002</stp>
        <stp>FQ1 2002</stp>
        <stp>[FA1_ivyerigx.xlsx]Bal Sheet - Standardized!R47C17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7" s="3"/>
      </tp>
      <tp>
        <v>0</v>
        <stp/>
        <stp>##V3_BDHV12</stp>
        <stp>XOM US Equity</stp>
        <stp>MINORITY_NONCONTROLLING_INTEREST</stp>
        <stp>FQ3 2005</stp>
        <stp>FQ3 2005</stp>
        <stp>[FA1_ivyerigx.xlsx]Bal Sheet - Standardized!R47C31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7" s="3"/>
      </tp>
      <tp>
        <v>0</v>
        <stp/>
        <stp>##V3_BDHV12</stp>
        <stp>XOM US Equity</stp>
        <stp>MINORITY_NONCONTROLLING_INTEREST</stp>
        <stp>FQ3 2006</stp>
        <stp>FQ3 2006</stp>
        <stp>[FA1_ivyerigx.xlsx]Bal Sheet - Standardized!R47C35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7" s="3"/>
      </tp>
      <tp>
        <v>0</v>
        <stp/>
        <stp>##V3_BDHV12</stp>
        <stp>XOM US Equity</stp>
        <stp>MINORITY_NONCONTROLLING_INTEREST</stp>
        <stp>FQ2 2004</stp>
        <stp>FQ2 2004</stp>
        <stp>[FA1_ivyerigx.xlsx]Bal Sheet - Standardized!R47C26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7" s="3"/>
      </tp>
      <tp>
        <v>0</v>
        <stp/>
        <stp>##V3_BDHV12</stp>
        <stp>XOM US Equity</stp>
        <stp>MINORITY_NONCONTROLLING_INTEREST</stp>
        <stp>FQ2 2003</stp>
        <stp>FQ2 2003</stp>
        <stp>[FA1_ivyerigx.xlsx]Bal Sheet - Standardized!R47C22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7" s="3"/>
      </tp>
      <tp t="s">
        <v>—</v>
        <stp/>
        <stp>##V3_BDHV12</stp>
        <stp>XOM US Equity</stp>
        <stp>MINORITY_NONCONTROLLING_INTEREST</stp>
        <stp>FQ1 2001</stp>
        <stp>FQ1 2001</stp>
        <stp>[FA1_ivyerigx.xlsx]Bal Sheet - Standardized!R47C13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7" s="3"/>
      </tp>
      <tp>
        <v>4282</v>
        <stp/>
        <stp>##V3_BDHV12</stp>
        <stp>XOM US Equity</stp>
        <stp>MINORITY_NONCONTROLLING_INTEREST</stp>
        <stp>FQ4 2007</stp>
        <stp>FQ4 2007</stp>
        <stp>[FA1_ivyerigx.xlsx]Bal Sheet - Standardized!R47C40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7" s="3"/>
      </tp>
      <tp>
        <v>0</v>
        <stp/>
        <stp>##V3_BDHV12</stp>
        <stp>XOM US Equity</stp>
        <stp>MINORITY_NONCONTROLLING_INTEREST</stp>
        <stp>FQ3 2007</stp>
        <stp>FQ3 2007</stp>
        <stp>[FA1_ivyerigx.xlsx]Bal Sheet - Standardized!R47C39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7" s="3"/>
      </tp>
      <tp>
        <v>6440.4309999999996</v>
        <stp/>
        <stp>##V3_BDHV12</stp>
        <stp>XOM US Equity</stp>
        <stp>EQY_FLOAT</stp>
        <stp>FQ4 2004</stp>
        <stp>FQ4 2004</stp>
        <stp>[FA1_ivyerigx.xlsx]Stock Value!R14C28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4" s="6"/>
      </tp>
      <tp>
        <v>6.0033000000000003</v>
        <stp/>
        <stp>##V3_BDHV12</stp>
        <stp>XOM US Equity</stp>
        <stp>CHG_PCT_PERIOD</stp>
        <stp>FQ4 1999</stp>
        <stp>FQ4 1999</stp>
        <stp>[FA1_ivyerigx.xlsx]Stock Value!R7C8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6"/>
      </tp>
      <tp>
        <v>1.0308999999999999</v>
        <stp/>
        <stp>##V3_BDHV12</stp>
        <stp>XOM US Equity</stp>
        <stp>CASH_ST_INVESTMENTS_PER_SH</stp>
        <stp>FQ3 2002</stp>
        <stp>FQ3 2002</stp>
        <stp>[FA1_ivyerigx.xlsx]Per Share!R25C19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5" s="5"/>
      </tp>
      <tp>
        <v>101269</v>
        <stp/>
        <stp>##V3_BDHV12</stp>
        <stp>XOM US Equity</stp>
        <stp>IS_COGS_TO_FE_AND_PP_AND_G</stp>
        <stp>FQ2 2008</stp>
        <stp>FQ2 2008</stp>
        <stp>[FA1_ivyerigx.xlsx]Income - Adjusted!R7C42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7" s="2"/>
      </tp>
      <tp>
        <v>83674</v>
        <stp/>
        <stp>##V3_BDHV12</stp>
        <stp>XOM US Equity</stp>
        <stp>IS_COGS_TO_FE_AND_PP_AND_G</stp>
        <stp>FQ1 2008</stp>
        <stp>FQ1 2008</stp>
        <stp>[FA1_ivyerigx.xlsx]Income - Adjusted!R7C41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7" s="2"/>
      </tp>
      <tp>
        <v>47558</v>
        <stp/>
        <stp>##V3_BDHV12</stp>
        <stp>XOM US Equity</stp>
        <stp>IS_COGS_TO_FE_AND_PP_AND_G</stp>
        <stp>FQ4 2004</stp>
        <stp>FQ4 2004</stp>
        <stp>[FA1_ivyerigx.xlsx]Income - Adjusted!R7C28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7" s="2"/>
      </tp>
      <tp>
        <v>32268</v>
        <stp/>
        <stp>##V3_BDHV12</stp>
        <stp>XOM US Equity</stp>
        <stp>IS_COGS_TO_FE_AND_PP_AND_G</stp>
        <stp>FQ3 2002</stp>
        <stp>FQ3 2002</stp>
        <stp>[FA1_ivyerigx.xlsx]Income - Adjusted!R7C19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7" s="2"/>
      </tp>
      <tp>
        <v>28926</v>
        <stp/>
        <stp>##V3_BDHV12</stp>
        <stp>XOM US Equity</stp>
        <stp>IS_COGS_TO_FE_AND_PP_AND_G</stp>
        <stp>FQ2 2002</stp>
        <stp>FQ2 2002</stp>
        <stp>[FA1_ivyerigx.xlsx]Income - Adjusted!R7C18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7" s="2"/>
      </tp>
      <tp>
        <v>0.43</v>
        <stp/>
        <stp>##V3_BDHV12</stp>
        <stp>XOM US Equity</stp>
        <stp>IS_DIL_EPS_BEF_XO</stp>
        <stp>FQ1 2000</stp>
        <stp>FQ1 2000</stp>
        <stp>[FA1_ivyerigx.xlsx]Per Share!R18C9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8" s="5"/>
      </tp>
      <tp>
        <v>5693.3990000000003</v>
        <stp/>
        <stp>##V3_BDHV12</stp>
        <stp>XOM US Equity</stp>
        <stp>EQY_SH_OUT</stp>
        <stp>FQ1 2007</stp>
        <stp>FQ1 2007</stp>
        <stp>[FA1_ivyerigx.xlsx]Stock Value!R13C37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3" s="6"/>
      </tp>
      <tp>
        <v>6952</v>
        <stp/>
        <stp>##V3_BDHV12</stp>
        <stp>XOM US Equity</stp>
        <stp>EQY_SH_OUT</stp>
        <stp>FQ4 2000</stp>
        <stp>FQ4 2000</stp>
        <stp>[FA1_ivyerigx.xlsx]Stock Value!R13C12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3" s="6"/>
      </tp>
      <tp>
        <v>6050.3239999999996</v>
        <stp/>
        <stp>##V3_BDHV12</stp>
        <stp>XOM US Equity</stp>
        <stp>EQY_SH_OUT</stp>
        <stp>FQ2 2006</stp>
        <stp>FQ2 2006</stp>
        <stp>[FA1_ivyerigx.xlsx]Stock Value!R13C34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3" s="6"/>
      </tp>
      <tp>
        <v>5944.9570000000003</v>
        <stp/>
        <stp>##V3_BDHV12</stp>
        <stp>XOM US Equity</stp>
        <stp>EQY_SH_OUT</stp>
        <stp>FQ3 2006</stp>
        <stp>FQ3 2006</stp>
        <stp>[FA1_ivyerigx.xlsx]Stock Value!R13C35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3" s="6"/>
      </tp>
      <tp>
        <v>6871.0789999999997</v>
        <stp/>
        <stp>##V3_BDHV12</stp>
        <stp>XOM US Equity</stp>
        <stp>EQY_SH_OUT</stp>
        <stp>FQ3 2001</stp>
        <stp>FQ3 2001</stp>
        <stp>[FA1_ivyerigx.xlsx]Stock Value!R13C15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3" s="6"/>
      </tp>
      <tp>
        <v>6899.7529999999997</v>
        <stp/>
        <stp>##V3_BDHV12</stp>
        <stp>XOM US Equity</stp>
        <stp>EQY_SH_OUT</stp>
        <stp>FQ2 2001</stp>
        <stp>FQ2 2001</stp>
        <stp>[FA1_ivyerigx.xlsx]Stock Value!R13C14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3" s="6"/>
      </tp>
      <tp>
        <v>6792.598</v>
        <stp/>
        <stp>##V3_BDHV12</stp>
        <stp>XOM US Equity</stp>
        <stp>EQY_SH_OUT</stp>
        <stp>FQ1 2002</stp>
        <stp>FQ1 2002</stp>
        <stp>[FA1_ivyerigx.xlsx]Stock Value!R13C17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3" s="6"/>
      </tp>
      <tp>
        <v>6222.3959999999997</v>
        <stp/>
        <stp>##V3_BDHV12</stp>
        <stp>XOM US Equity</stp>
        <stp>EQY_SH_OUT</stp>
        <stp>FQ4 2005</stp>
        <stp>FQ4 2005</stp>
        <stp>[FA1_ivyerigx.xlsx]Stock Value!R13C32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3" s="6"/>
      </tp>
      <tp>
        <v>113844</v>
        <stp/>
        <stp>##V3_BDHV12</stp>
        <stp>XOM US Equity</stp>
        <stp>EQTY_BEF_MINORITY_INT_DETAILED</stp>
        <stp>FQ4 2006</stp>
        <stp>FQ4 2006</stp>
        <stp>[FA1_ivyerigx.xlsx]Bal Sheet - Standardized!R46C36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3"/>
      </tp>
      <tp>
        <v>2928</v>
        <stp/>
        <stp>##V3_BDHV12</stp>
        <stp>XOM US Equity</stp>
        <stp>BS_CASH_NEAR_CASH_ITEM</stp>
        <stp>FQ1 2000</stp>
        <stp>FQ1 2000</stp>
        <stp>[FA1_ivyerigx.xlsx]Bal Sheet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3"/>
      </tp>
      <tp>
        <v>111186</v>
        <stp/>
        <stp>##V3_BDHV12</stp>
        <stp>XOM US Equity</stp>
        <stp>EQTY_BEF_MINORITY_INT_DETAILED</stp>
        <stp>FQ4 2005</stp>
        <stp>FQ4 2005</stp>
        <stp>[FA1_ivyerigx.xlsx]Bal Sheet - Standardized!R46C32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3"/>
      </tp>
      <tp>
        <v>0</v>
        <stp/>
        <stp>##V3_BDHV12</stp>
        <stp>XOM US Equity</stp>
        <stp>MINORITY_NONCONTROLLING_INTEREST</stp>
        <stp>FQ2 2005</stp>
        <stp>FQ2 2005</stp>
        <stp>[FA1_ivyerigx.xlsx]Bal Sheet - Standardized!R47C30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7" s="3"/>
      </tp>
      <tp>
        <v>4220</v>
        <stp/>
        <stp>##V3_BDHV12</stp>
        <stp>XOM US Equity</stp>
        <stp>OTHER_CURRENT_LIABS_DETAILED</stp>
        <stp>FQ1 2000</stp>
        <stp>FQ1 2000</stp>
        <stp>[FA1_ivyerigx.xlsx]Bal Sheet - Standardized!R34C9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4" s="3"/>
      </tp>
      <tp>
        <v>0</v>
        <stp/>
        <stp>##V3_BDHV12</stp>
        <stp>XOM US Equity</stp>
        <stp>MINORITY_NONCONTROLLING_INTEREST</stp>
        <stp>FQ2 2006</stp>
        <stp>FQ2 2006</stp>
        <stp>[FA1_ivyerigx.xlsx]Bal Sheet - Standardized!R47C34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7" s="3"/>
      </tp>
      <tp>
        <v>0</v>
        <stp/>
        <stp>##V3_BDHV12</stp>
        <stp>XOM US Equity</stp>
        <stp>MINORITY_NONCONTROLLING_INTEREST</stp>
        <stp>FQ3 2004</stp>
        <stp>FQ3 2004</stp>
        <stp>[FA1_ivyerigx.xlsx]Bal Sheet - Standardized!R47C27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7" s="3"/>
      </tp>
      <tp>
        <v>0</v>
        <stp/>
        <stp>##V3_BDHV12</stp>
        <stp>XOM US Equity</stp>
        <stp>MINORITY_NONCONTROLLING_INTEREST</stp>
        <stp>FQ3 2003</stp>
        <stp>FQ3 2003</stp>
        <stp>[FA1_ivyerigx.xlsx]Bal Sheet - Standardized!R47C23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7" s="3"/>
      </tp>
      <tp>
        <v>0</v>
        <stp/>
        <stp>##V3_BDHV12</stp>
        <stp>XOM US Equity</stp>
        <stp>MINORITY_NONCONTROLLING_INTEREST</stp>
        <stp>FQ2 2007</stp>
        <stp>FQ2 2007</stp>
        <stp>[FA1_ivyerigx.xlsx]Bal Sheet - Standardized!R47C38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7" s="3"/>
      </tp>
      <tp>
        <v>0.96330000000000005</v>
        <stp/>
        <stp>##V3_BDHV12</stp>
        <stp>XOM US Equity</stp>
        <stp>CUR_RATIO</stp>
        <stp>FQ3 1998</stp>
        <stp>FQ3 1998</stp>
        <stp>[FA1_ivyerigx.xlsx]Bal Sheet - Standardized!R63C3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3" s="3"/>
      </tp>
      <tp>
        <v>0.90629999999999999</v>
        <stp/>
        <stp>##V3_BDHV12</stp>
        <stp>XOM US Equity</stp>
        <stp>CUR_RATIO</stp>
        <stp>FQ4 1998</stp>
        <stp>FQ4 1998</stp>
        <stp>[FA1_ivyerigx.xlsx]Bal Sheet - Standardized!R63C4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3" s="3"/>
      </tp>
      <tp>
        <v>40399</v>
        <stp/>
        <stp>##V3_BDHV12</stp>
        <stp>XOM US Equity</stp>
        <stp>BS_CUR_ASSET_REPORT</stp>
        <stp>FQ4 2000</stp>
        <stp>FQ4 2000</stp>
        <stp>[FA1_ivyerigx.xlsx]Bal Sheet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4862.46</v>
        <stp/>
        <stp>##V3_BDHV12</stp>
        <stp>XOM US Equity</stp>
        <stp>BS_SH_OUT</stp>
        <stp>FQ3 1998</stp>
        <stp>FQ3 1998</stp>
        <stp>[FA1_ivyerigx.xlsx]Bal Sheet - Standardized!R53C3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3" s="3"/>
      </tp>
      <tp>
        <v>35681</v>
        <stp/>
        <stp>##V3_BDHV12</stp>
        <stp>XOM US Equity</stp>
        <stp>BS_CUR_ASSET_REPORT</stp>
        <stp>FQ4 2001</stp>
        <stp>FQ4 2001</stp>
        <stp>[FA1_ivyerigx.xlsx]Bal Sheet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3"/>
      </tp>
      <tp>
        <v>0.84360000000000002</v>
        <stp/>
        <stp>##V3_BDHV12</stp>
        <stp>XOM US Equity</stp>
        <stp>CASH_ST_INVESTMENTS_PER_SH</stp>
        <stp>FQ2 2002</stp>
        <stp>FQ2 2002</stp>
        <stp>[FA1_ivyerigx.xlsx]Per Share!R25C18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5" s="5"/>
      </tp>
      <tp>
        <v>7.6433999999999997</v>
        <stp/>
        <stp>##V3_BDHV12</stp>
        <stp>XOM US Equity</stp>
        <stp>CASH_ST_INVESTMENTS_PER_SH</stp>
        <stp>FQ2 2008</stp>
        <stp>FQ2 2008</stp>
        <stp>[FA1_ivyerigx.xlsx]Per Share!R25C42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5" s="5"/>
      </tp>
      <tp>
        <v>4856</v>
        <stp/>
        <stp>##V3_BDHV12</stp>
        <stp>XOM US Equity</stp>
        <stp>BS_SH_OUT</stp>
        <stp>FQ4 1998</stp>
        <stp>FQ4 1998</stp>
        <stp>[FA1_ivyerigx.xlsx]Bal Sheet - Standardized!R53C4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3" s="3"/>
      </tp>
      <tp>
        <v>97758</v>
        <stp/>
        <stp>##V3_BDHV12</stp>
        <stp>XOM US Equity</stp>
        <stp>BS_CUR_ASSET_REPORT</stp>
        <stp>FQ1 2008</stp>
        <stp>FQ1 2008</stp>
        <stp>[FA1_ivyerigx.xlsx]Bal Sheet - Standardized!R18C41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3"/>
      </tp>
      <tp>
        <v>7081</v>
        <stp/>
        <stp>##V3_BDHV12</stp>
        <stp>XOM US Equity</stp>
        <stp>C&amp;CE_AND_STI_DETAILED</stp>
        <stp>FQ4 2000</stp>
        <stp>FQ4 2000</stp>
        <stp>[FA1_ivyerigx.xlsx]Bal Sheet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3"/>
      </tp>
      <tp>
        <v>9298</v>
        <stp/>
        <stp>##V3_BDHV12</stp>
        <stp>XOM US Equity</stp>
        <stp>C&amp;CE_AND_STI_DETAILED</stp>
        <stp>FQ2 2001</stp>
        <stp>FQ2 2001</stp>
        <stp>[FA1_ivyerigx.xlsx]Bal Sheet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3"/>
      </tp>
      <tp>
        <v>6622</v>
        <stp/>
        <stp>##V3_BDHV12</stp>
        <stp>XOM US Equity</stp>
        <stp>C&amp;CE_AND_STI_DETAILED</stp>
        <stp>FQ1 2002</stp>
        <stp>FQ1 2002</stp>
        <stp>[FA1_ivyerigx.xlsx]Bal Sheet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3"/>
      </tp>
      <tp>
        <v>9026</v>
        <stp/>
        <stp>##V3_BDHV12</stp>
        <stp>XOM US Equity</stp>
        <stp>C&amp;CE_AND_STI_DETAILED</stp>
        <stp>FQ3 2001</stp>
        <stp>FQ3 2001</stp>
        <stp>[FA1_ivyerigx.xlsx]Bal Sheet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3"/>
      </tp>
      <tp>
        <v>6547</v>
        <stp/>
        <stp>##V3_BDHV12</stp>
        <stp>XOM US Equity</stp>
        <stp>C&amp;CE_AND_STI_DETAILED</stp>
        <stp>FQ4 2001</stp>
        <stp>FQ4 2001</stp>
        <stp>[FA1_ivyerigx.xlsx]Bal Sheet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3"/>
      </tp>
      <tp>
        <v>10906</v>
        <stp/>
        <stp>##V3_BDHV12</stp>
        <stp>XOM US Equity</stp>
        <stp>C&amp;CE_AND_STI_DETAILED</stp>
        <stp>FQ1 2001</stp>
        <stp>FQ1 2001</stp>
        <stp>[FA1_ivyerigx.xlsx]Bal Sheet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3"/>
      </tp>
      <tp>
        <v>6646</v>
        <stp/>
        <stp>##V3_BDHV12</stp>
        <stp>XOM US Equity</stp>
        <stp>C&amp;CE_AND_STI_DETAILED</stp>
        <stp>FQ3 2000</stp>
        <stp>FQ3 2000</stp>
        <stp>[FA1_ivyerigx.xlsx]Bal Sheet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3"/>
      </tp>
      <tp>
        <v>5863</v>
        <stp/>
        <stp>##V3_BDHV12</stp>
        <stp>XOM US Equity</stp>
        <stp>C&amp;CE_AND_STI_DETAILED</stp>
        <stp>FQ2 2000</stp>
        <stp>FQ2 2000</stp>
        <stp>[FA1_ivyerigx.xlsx]Bal Sheet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3"/>
      </tp>
      <tp>
        <v>6937</v>
        <stp/>
        <stp>##V3_BDHV12</stp>
        <stp>XOM US Equity</stp>
        <stp>C&amp;CE_AND_STI_DETAILED</stp>
        <stp>FQ3 2002</stp>
        <stp>FQ3 2002</stp>
        <stp>[FA1_ivyerigx.xlsx]Bal Sheet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3"/>
      </tp>
      <tp>
        <v>5700</v>
        <stp/>
        <stp>##V3_BDHV12</stp>
        <stp>XOM US Equity</stp>
        <stp>C&amp;CE_AND_STI_DETAILED</stp>
        <stp>FQ2 2002</stp>
        <stp>FQ2 2002</stp>
        <stp>[FA1_ivyerigx.xlsx]Bal Sheet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3"/>
      </tp>
      <tp>
        <v>16758</v>
        <stp/>
        <stp>##V3_BDHV12</stp>
        <stp>XOM US Equity</stp>
        <stp>OTHER_NONCURRENT_ASSETS_DETAILED</stp>
        <stp>FQ4 2000</stp>
        <stp>FQ4 2000</stp>
        <stp>[FA1_ivyerigx.xlsx]Bal Sheet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3"/>
      </tp>
      <tp>
        <v>92630</v>
        <stp/>
        <stp>##V3_BDHV12</stp>
        <stp>XOM US Equity</stp>
        <stp>BS_TOT_ASSET</stp>
        <stp>FQ4 1998</stp>
        <stp>FQ4 1998</stp>
        <stp>[FA1_ivyerigx.xlsx]Bal Sheet - Standardized!R27C4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7" s="3"/>
      </tp>
      <tp>
        <v>95227</v>
        <stp/>
        <stp>##V3_BDHV12</stp>
        <stp>XOM US Equity</stp>
        <stp>BS_TOT_ASSET</stp>
        <stp>FQ3 1998</stp>
        <stp>FQ3 1998</stp>
        <stp>[FA1_ivyerigx.xlsx]Bal Sheet - Standardized!R27C3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7" s="3"/>
      </tp>
      <tp>
        <v>-530</v>
        <stp/>
        <stp>##V3_BDHV12</stp>
        <stp>XOM US Equity</stp>
        <stp>XO_GL_NET_OF_TAX</stp>
        <stp>FQ2 2000</stp>
        <stp>FQ2 2000</stp>
        <stp>[FA1_ivyerigx.xlsx]Income - Adjusted!R21C10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2"/>
      </tp>
      <tp>
        <v>0</v>
        <stp/>
        <stp>##V3_BDHV12</stp>
        <stp>XOM US Equity</stp>
        <stp>XO_GL_NET_OF_TAX</stp>
        <stp>FQ2 2003</stp>
        <stp>FQ2 2003</stp>
        <stp>[FA1_ivyerigx.xlsx]Income - Adjusted!R31C22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2"/>
      </tp>
      <tp>
        <v>-530</v>
        <stp/>
        <stp>##V3_BDHV12</stp>
        <stp>XOM US Equity</stp>
        <stp>XO_GL_NET_OF_TAX</stp>
        <stp>FQ2 2000</stp>
        <stp>FQ2 2000</stp>
        <stp>[FA1_ivyerigx.xlsx]Income - Adjusted!R31C10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2"/>
      </tp>
      <tp>
        <v>0</v>
        <stp/>
        <stp>##V3_BDHV12</stp>
        <stp>XOM US Equity</stp>
        <stp>XO_GL_NET_OF_TAX</stp>
        <stp>FQ2 2003</stp>
        <stp>FQ2 2003</stp>
        <stp>[FA1_ivyerigx.xlsx]Income - Adjusted!R21C22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2"/>
      </tp>
      <tp>
        <v>67154</v>
        <stp/>
        <stp>##V3_BDHV12</stp>
        <stp>XOM US Equity</stp>
        <stp>TOTAL_EQUITY</stp>
        <stp>FQ4 1999</stp>
        <stp>FQ4 1999</stp>
        <stp>[FA1_ivyerigx.xlsx]Bal Sheet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3"/>
      </tp>
      <tp>
        <v>94394</v>
        <stp/>
        <stp>##V3_BDHV12</stp>
        <stp>XOM US Equity</stp>
        <stp>BS_TOT_ASSET</stp>
        <stp>FQ3 1999</stp>
        <stp>FQ3 1999</stp>
        <stp>[FA1_ivyerigx.xlsx]Bal Sheet - Standardized!R27C7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7" s="3"/>
      </tp>
      <tp>
        <v>91235</v>
        <stp/>
        <stp>##V3_BDHV12</stp>
        <stp>XOM US Equity</stp>
        <stp>BS_TOT_ASSET</stp>
        <stp>FQ2 1999</stp>
        <stp>FQ2 1999</stp>
        <stp>[FA1_ivyerigx.xlsx]Bal Sheet - Standardized!R27C6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7" s="3"/>
      </tp>
      <tp>
        <v>90731</v>
        <stp/>
        <stp>##V3_BDHV12</stp>
        <stp>XOM US Equity</stp>
        <stp>BS_TOT_ASSET</stp>
        <stp>FQ1 1999</stp>
        <stp>FQ1 1999</stp>
        <stp>[FA1_ivyerigx.xlsx]Bal Sheet - Standardized!R27C5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7" s="3"/>
      </tp>
      <tp>
        <v>0</v>
        <stp/>
        <stp>##V3_BDHV12</stp>
        <stp>XOM US Equity</stp>
        <stp>XO_GL_NET_OF_TAX</stp>
        <stp>FQ3 2001</stp>
        <stp>FQ3 2001</stp>
        <stp>[FA1_ivyerigx.xlsx]Income - Adjusted!R21C15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2"/>
      </tp>
      <tp>
        <v>16578</v>
        <stp/>
        <stp>##V3_BDHV12</stp>
        <stp>XOM US Equity</stp>
        <stp>OTHER_NONCURRENT_ASSETS_DETAILED</stp>
        <stp>FQ4 2001</stp>
        <stp>FQ4 2001</stp>
        <stp>[FA1_ivyerigx.xlsx]Bal Sheet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3"/>
      </tp>
      <tp>
        <v>0</v>
        <stp/>
        <stp>##V3_BDHV12</stp>
        <stp>XOM US Equity</stp>
        <stp>XO_GL_NET_OF_TAX</stp>
        <stp>FQ3 2001</stp>
        <stp>FQ3 2001</stp>
        <stp>[FA1_ivyerigx.xlsx]Income - Adjusted!R31C15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2"/>
      </tp>
      <tp>
        <v>43884</v>
        <stp/>
        <stp>##V3_BDHV12</stp>
        <stp>XOM US Equity</stp>
        <stp>TOTAL_EQUITY</stp>
        <stp>FQ3 1998</stp>
        <stp>FQ3 1998</stp>
        <stp>[FA1_ivyerigx.xlsx]Bal Sheet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3"/>
      </tp>
      <tp>
        <v>45557</v>
        <stp/>
        <stp>##V3_BDHV12</stp>
        <stp>XOM US Equity</stp>
        <stp>TOTAL_EQUITY</stp>
        <stp>FQ4 1998</stp>
        <stp>FQ4 1998</stp>
        <stp>[FA1_ivyerigx.xlsx]Bal Sheet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3"/>
      </tp>
      <tp>
        <v>42829</v>
        <stp/>
        <stp>##V3_BDHV12</stp>
        <stp>XOM US Equity</stp>
        <stp>TOTAL_EQUITY</stp>
        <stp>FQ2 1999</stp>
        <stp>FQ2 1999</stp>
        <stp>[FA1_ivyerigx.xlsx]Bal Sheet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3"/>
      </tp>
      <tp>
        <v>43834</v>
        <stp/>
        <stp>##V3_BDHV12</stp>
        <stp>XOM US Equity</stp>
        <stp>TOTAL_EQUITY</stp>
        <stp>FQ3 1999</stp>
        <stp>FQ3 1999</stp>
        <stp>[FA1_ivyerigx.xlsx]Bal Sheet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3"/>
      </tp>
      <tp>
        <v>43002</v>
        <stp/>
        <stp>##V3_BDHV12</stp>
        <stp>XOM US Equity</stp>
        <stp>TOTAL_EQUITY</stp>
        <stp>FQ1 1999</stp>
        <stp>FQ1 1999</stp>
        <stp>[FA1_ivyerigx.xlsx]Bal Sheet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3"/>
      </tp>
      <tp>
        <v>144521</v>
        <stp/>
        <stp>##V3_BDHV12</stp>
        <stp>XOM US Equity</stp>
        <stp>BS_TOT_ASSET</stp>
        <stp>FQ4 1999</stp>
        <stp>FQ4 1999</stp>
        <stp>[FA1_ivyerigx.xlsx]Bal Sheet - Standardized!R27C8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7" s="3"/>
      </tp>
      <tp>
        <v>0</v>
        <stp/>
        <stp>##V3_BDHV12</stp>
        <stp>XOM US Equity</stp>
        <stp>OTHER_NONCURRENT_ASSETS_DETAILED</stp>
        <stp>FQ1 2008</stp>
        <stp>FQ1 2008</stp>
        <stp>[FA1_ivyerigx.xlsx]Bal Sheet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3"/>
      </tp>
      <tp>
        <v>74022</v>
        <stp/>
        <stp>##V3_BDHV12</stp>
        <stp>XOM US Equity</stp>
        <stp>BS_TOT_NON_CUR_ASSET</stp>
        <stp>FQ1 1999</stp>
        <stp>FQ1 1999</stp>
        <stp>[FA1_ivyerigx.xlsx]Bal Sheet - Standardized!R26C5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3"/>
      </tp>
      <tp>
        <v>76346</v>
        <stp/>
        <stp>##V3_BDHV12</stp>
        <stp>XOM US Equity</stp>
        <stp>BS_TOT_NON_CUR_ASSET</stp>
        <stp>FQ3 1999</stp>
        <stp>FQ3 1999</stp>
        <stp>[FA1_ivyerigx.xlsx]Bal Sheet - Standardized!R26C7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3"/>
      </tp>
      <tp>
        <v>74806</v>
        <stp/>
        <stp>##V3_BDHV12</stp>
        <stp>XOM US Equity</stp>
        <stp>BS_TOT_NON_CUR_ASSET</stp>
        <stp>FQ2 1999</stp>
        <stp>FQ2 1999</stp>
        <stp>[FA1_ivyerigx.xlsx]Bal Sheet - Standardized!R26C6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3"/>
      </tp>
      <tp>
        <v>9607</v>
        <stp/>
        <stp>##V3_BDHV12</stp>
        <stp>XOM US Equity</stp>
        <stp>BS_LT_INVEST</stp>
        <stp>FQ1 1999</stp>
        <stp>FQ1 1999</stp>
        <stp>[FA1_ivyerigx.xlsx]Bal Sheet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10347</v>
        <stp/>
        <stp>##V3_BDHV12</stp>
        <stp>XOM US Equity</stp>
        <stp>BS_LT_INVEST</stp>
        <stp>FQ3 1999</stp>
        <stp>FQ3 1999</stp>
        <stp>[FA1_ivyerigx.xlsx]Bal Sheet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9804</v>
        <stp/>
        <stp>##V3_BDHV12</stp>
        <stp>XOM US Equity</stp>
        <stp>BS_LT_INVEST</stp>
        <stp>FQ2 1999</stp>
        <stp>FQ2 1999</stp>
        <stp>[FA1_ivyerigx.xlsx]Bal Sheet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10.6006</v>
        <stp/>
        <stp>##V3_BDHV12</stp>
        <stp>XOM US Equity</stp>
        <stp>EBITDA_MARGIN</stp>
        <stp>FQ3 1999</stp>
        <stp>FQ3 1999</stp>
        <stp>[FA1_ivyerigx.xlsx]Cash Flow - Standardized!R43C7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43" s="4"/>
      </tp>
      <tp>
        <v>75037</v>
        <stp/>
        <stp>##V3_BDHV12</stp>
        <stp>XOM US Equity</stp>
        <stp>BS_TOT_NON_CUR_ASSET</stp>
        <stp>FQ4 1998</stp>
        <stp>FQ4 1998</stp>
        <stp>[FA1_ivyerigx.xlsx]Bal Sheet - Standardized!R26C4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3"/>
      </tp>
      <tp>
        <v>77150</v>
        <stp/>
        <stp>##V3_BDHV12</stp>
        <stp>XOM US Equity</stp>
        <stp>BS_TOT_NON_CUR_ASSET</stp>
        <stp>FQ3 1998</stp>
        <stp>FQ3 1998</stp>
        <stp>[FA1_ivyerigx.xlsx]Bal Sheet - Standardized!R26C3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3"/>
      </tp>
      <tp>
        <v>60262</v>
        <stp/>
        <stp>##V3_BDHV12</stp>
        <stp>XOM US Equity</stp>
        <stp>ACCT_PAYABLE_&amp;_ACCRUALS_DETAILED</stp>
        <stp>FQ2 2008</stp>
        <stp>FQ2 2008</stp>
        <stp>[FA1_ivyerigx.xlsx]Bal Sheet - Standardized!R30C42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3"/>
      </tp>
      <tp>
        <v>18186</v>
        <stp/>
        <stp>##V3_BDHV12</stp>
        <stp>XOM US Equity</stp>
        <stp>ACCT_PAYABLE_&amp;_ACCRUALS_DETAILED</stp>
        <stp>FQ4 2004</stp>
        <stp>FQ4 2004</stp>
        <stp>[FA1_ivyerigx.xlsx]Bal Sheet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3"/>
      </tp>
      <tp t="s">
        <v>—</v>
        <stp/>
        <stp>##V3_BDHV12</stp>
        <stp>XOM US Equity</stp>
        <stp>BS_LT_INVEST</stp>
        <stp>FQ3 1998</stp>
        <stp>FQ3 1998</stp>
        <stp>[FA1_ivyerigx.xlsx]Bal Sheet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6434</v>
        <stp/>
        <stp>##V3_BDHV12</stp>
        <stp>XOM US Equity</stp>
        <stp>BS_LT_INVEST</stp>
        <stp>FQ4 1998</stp>
        <stp>FQ4 1998</stp>
        <stp>[FA1_ivyerigx.xlsx]Bal Sheet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13792</v>
        <stp/>
        <stp>##V3_BDHV12</stp>
        <stp>XOM US Equity</stp>
        <stp>ACCT_PAYABLE_&amp;_ACCRUALS_DETAILED</stp>
        <stp>FQ4 2002</stp>
        <stp>FQ4 2002</stp>
        <stp>[FA1_ivyerigx.xlsx]Bal Sheet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3"/>
      </tp>
      <tp>
        <v>113380</v>
        <stp/>
        <stp>##V3_BDHV12</stp>
        <stp>XOM US Equity</stp>
        <stp>BS_TOT_NON_CUR_ASSET</stp>
        <stp>FQ4 1999</stp>
        <stp>FQ4 1999</stp>
        <stp>[FA1_ivyerigx.xlsx]Bal Sheet - Standardized!R26C8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3"/>
      </tp>
      <tp>
        <v>14544</v>
        <stp/>
        <stp>##V3_BDHV12</stp>
        <stp>XOM US Equity</stp>
        <stp>BS_LT_INVEST</stp>
        <stp>FQ4 1999</stp>
        <stp>FQ4 1999</stp>
        <stp>[FA1_ivyerigx.xlsx]Bal Sheet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15334</v>
        <stp/>
        <stp>##V3_BDHV12</stp>
        <stp>XOM US Equity</stp>
        <stp>ACCT_PAYABLE_&amp;_ACCRUALS_DETAILED</stp>
        <stp>FQ4 2003</stp>
        <stp>FQ4 2003</stp>
        <stp>[FA1_ivyerigx.xlsx]Bal Sheet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3"/>
      </tp>
      <tp t="s">
        <v>—</v>
        <stp/>
        <stp>##V3_BDHV12</stp>
        <stp>XOM US Equity</stp>
        <stp>EQY_FLOAT</stp>
        <stp>FQ4 2001</stp>
        <stp>FQ4 2001</stp>
        <stp>[FA1_ivyerigx.xlsx]Stock Value!R14C16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4" s="6"/>
      </tp>
      <tp>
        <v>1.7458</v>
        <stp/>
        <stp>##V3_BDHV12</stp>
        <stp>XOM US Equity</stp>
        <stp>CASH_FLOW_TO_NET_INC</stp>
        <stp>FQ1 2001</stp>
        <stp>FQ1 2001</stp>
        <stp>[FA1_ivyerigx.xlsx]Cash Flow - Standardized!R51C13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51" s="4"/>
      </tp>
      <tp>
        <v>1.6524999999999999</v>
        <stp/>
        <stp>##V3_BDHV12</stp>
        <stp>XOM US Equity</stp>
        <stp>CASH_FLOW_TO_NET_INC</stp>
        <stp>FQ3 2001</stp>
        <stp>FQ3 2001</stp>
        <stp>[FA1_ivyerigx.xlsx]Cash Flow - Standardized!R51C15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51" s="4"/>
      </tp>
      <tp>
        <v>1.2364999999999999</v>
        <stp/>
        <stp>##V3_BDHV12</stp>
        <stp>XOM US Equity</stp>
        <stp>CASH_FLOW_TO_NET_INC</stp>
        <stp>FQ2 2001</stp>
        <stp>FQ2 2001</stp>
        <stp>[FA1_ivyerigx.xlsx]Cash Flow - Standardized!R51C14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51" s="4"/>
      </tp>
      <tp>
        <v>1.2648999999999999</v>
        <stp/>
        <stp>##V3_BDHV12</stp>
        <stp>XOM US Equity</stp>
        <stp>CASH_FLOW_TO_NET_INC</stp>
        <stp>FQ4 2001</stp>
        <stp>FQ4 2001</stp>
        <stp>[FA1_ivyerigx.xlsx]Cash Flow - Standardized!R51C16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51" s="4"/>
      </tp>
      <tp>
        <v>6098.34</v>
        <stp/>
        <stp>##V3_BDHV12</stp>
        <stp>XOM US Equity</stp>
        <stp>EQY_FLOAT</stp>
        <stp>FQ1 2006</stp>
        <stp>FQ1 2006</stp>
        <stp>[FA1_ivyerigx.xlsx]Stock Value!R14C33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4" s="6"/>
      </tp>
      <tp>
        <v>6354.6729999999998</v>
        <stp/>
        <stp>##V3_BDHV12</stp>
        <stp>XOM US Equity</stp>
        <stp>EQY_FLOAT</stp>
        <stp>FQ2 2005</stp>
        <stp>FQ2 2005</stp>
        <stp>[FA1_ivyerigx.xlsx]Stock Value!R14C30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4" s="6"/>
      </tp>
      <tp>
        <v>6293.9849999999997</v>
        <stp/>
        <stp>##V3_BDHV12</stp>
        <stp>XOM US Equity</stp>
        <stp>EQY_FLOAT</stp>
        <stp>FQ3 2005</stp>
        <stp>FQ3 2005</stp>
        <stp>[FA1_ivyerigx.xlsx]Stock Value!R14C31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4" s="6"/>
      </tp>
      <tp t="s">
        <v>—</v>
        <stp/>
        <stp>##V3_BDHV12</stp>
        <stp>XOM US Equity</stp>
        <stp>EQY_FLOAT</stp>
        <stp>FQ1 2001</stp>
        <stp>FQ1 2001</stp>
        <stp>[FA1_ivyerigx.xlsx]Stock Value!R14C13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4" s="6"/>
      </tp>
      <tp>
        <v>9.3003</v>
        <stp/>
        <stp>##V3_BDHV12</stp>
        <stp>XOM US Equity</stp>
        <stp>CHG_PCT_PERIOD</stp>
        <stp>FQ2 1999</stp>
        <stp>FQ2 1999</stp>
        <stp>[FA1_ivyerigx.xlsx]Stock Value!R7C6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6"/>
      </tp>
      <tp t="s">
        <v>—</v>
        <stp/>
        <stp>##V3_BDHV12</stp>
        <stp>XOM US Equity</stp>
        <stp>EQY_FLOAT</stp>
        <stp>FQ3 2000</stp>
        <stp>FQ3 2000</stp>
        <stp>[FA1_ivyerigx.xlsx]Stock Value!R14C11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4" s="6"/>
      </tp>
      <tp t="s">
        <v>—</v>
        <stp/>
        <stp>##V3_BDHV12</stp>
        <stp>XOM US Equity</stp>
        <stp>EQY_FLOAT</stp>
        <stp>FQ2 2000</stp>
        <stp>FQ2 2000</stp>
        <stp>[FA1_ivyerigx.xlsx]Stock Value!R14C10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4" s="6"/>
      </tp>
      <tp>
        <v>5823.1369999999997</v>
        <stp/>
        <stp>##V3_BDHV12</stp>
        <stp>XOM US Equity</stp>
        <stp>EQY_FLOAT</stp>
        <stp>FQ4 2006</stp>
        <stp>FQ4 2006</stp>
        <stp>[FA1_ivyerigx.xlsx]Stock Value!R14C36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4" s="6"/>
      </tp>
      <tp>
        <v>-8.3326999999999991</v>
        <stp/>
        <stp>##V3_BDHV12</stp>
        <stp>XOM US Equity</stp>
        <stp>CASH_CONVERSION_CYCLE</stp>
        <stp>FQ2 2005</stp>
        <stp>FQ2 2005</stp>
        <stp>[FA1_ivyerigx.xlsx]Bal Sheet - Standardized!R64C30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64" s="3"/>
      </tp>
      <tp>
        <v>-8.0879999999999992</v>
        <stp/>
        <stp>##V3_BDHV12</stp>
        <stp>XOM US Equity</stp>
        <stp>CASH_CONVERSION_CYCLE</stp>
        <stp>FQ3 2005</stp>
        <stp>FQ3 2005</stp>
        <stp>[FA1_ivyerigx.xlsx]Bal Sheet - Standardized!R64C31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64" s="3"/>
      </tp>
      <tp>
        <v>-10.1114</v>
        <stp/>
        <stp>##V3_BDHV12</stp>
        <stp>XOM US Equity</stp>
        <stp>CASH_CONVERSION_CYCLE</stp>
        <stp>FQ1 2005</stp>
        <stp>FQ1 2005</stp>
        <stp>[FA1_ivyerigx.xlsx]Bal Sheet - Standardized!R64C29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64" s="3"/>
      </tp>
      <tp>
        <v>13.4244</v>
        <stp/>
        <stp>##V3_BDHV12</stp>
        <stp>XOM US Equity</stp>
        <stp>CASH_CONVERSION_CYCLE</stp>
        <stp>FQ4 2005</stp>
        <stp>FQ4 2005</stp>
        <stp>[FA1_ivyerigx.xlsx]Bal Sheet - Standardized!R64C32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64" s="3"/>
      </tp>
      <tp>
        <v>5.2801999999999998</v>
        <stp/>
        <stp>##V3_BDHV12</stp>
        <stp>XOM US Equity</stp>
        <stp>CASH_ST_INVESTMENTS_PER_SH</stp>
        <stp>FQ1 2006</stp>
        <stp>FQ1 2006</stp>
        <stp>[FA1_ivyerigx.xlsx]Per Share!R25C33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5" s="5"/>
      </tp>
      <tp>
        <v>0.97640000000000005</v>
        <stp/>
        <stp>##V3_BDHV12</stp>
        <stp>XOM US Equity</stp>
        <stp>CASH_ST_INVESTMENTS_PER_SH</stp>
        <stp>FQ1 2002</stp>
        <stp>FQ1 2002</stp>
        <stp>[FA1_ivyerigx.xlsx]Per Share!R25C17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5" s="5"/>
      </tp>
      <tp>
        <v>4.0678000000000001</v>
        <stp/>
        <stp>##V3_BDHV12</stp>
        <stp>XOM US Equity</stp>
        <stp>CASH_ST_INVESTMENTS_PER_SH</stp>
        <stp>FQ2 2005</stp>
        <stp>FQ2 2005</stp>
        <stp>[FA1_ivyerigx.xlsx]Per Share!R25C30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5" s="5"/>
      </tp>
      <tp>
        <v>1.3603000000000001</v>
        <stp/>
        <stp>##V3_BDHV12</stp>
        <stp>XOM US Equity</stp>
        <stp>CASH_ST_INVESTMENTS_PER_SH</stp>
        <stp>FQ2 2001</stp>
        <stp>FQ2 2001</stp>
        <stp>[FA1_ivyerigx.xlsx]Per Share!R25C14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5" s="5"/>
      </tp>
      <tp>
        <v>7474</v>
        <stp/>
        <stp>##V3_BDHV12</stp>
        <stp>XOM US Equity</stp>
        <stp>OTHER_CURRENT_ASSETS_DETAILED</stp>
        <stp>FQ1 2005</stp>
        <stp>FQ1 2005</stp>
        <stp>[FA1_ivyerigx.xlsx]Bal Sheet - Standardized!R17C29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3"/>
      </tp>
      <tp>
        <v>225</v>
        <stp/>
        <stp>##V3_BDHV12</stp>
        <stp>XOM US Equity</stp>
        <stp>CF_ACT_CASH_PAID_FOR_INT_DEBT</stp>
        <stp>FQ1 2000</stp>
        <stp>FQ1 2000</stp>
        <stp>[FA1_ivyerigx.xlsx]Cash Flow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4"/>
      </tp>
      <tp>
        <v>2187</v>
        <stp/>
        <stp>##V3_BDHV12</stp>
        <stp>XOM US Equity</stp>
        <stp>OTHER_CURRENT_ASSETS_DETAILED</stp>
        <stp>FQ2 2002</stp>
        <stp>FQ2 2002</stp>
        <stp>[FA1_ivyerigx.xlsx]Bal Sheet - Standardized!R17C18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3"/>
      </tp>
      <tp>
        <v>2220</v>
        <stp/>
        <stp>##V3_BDHV12</stp>
        <stp>XOM US Equity</stp>
        <stp>OTHER_CURRENT_ASSETS_DETAILED</stp>
        <stp>FQ2 2001</stp>
        <stp>FQ2 2001</stp>
        <stp>[FA1_ivyerigx.xlsx]Bal Sheet - Standardized!R17C14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3"/>
      </tp>
      <tp>
        <v>2206</v>
        <stp/>
        <stp>##V3_BDHV12</stp>
        <stp>XOM US Equity</stp>
        <stp>OTHER_CURRENT_ASSETS_DETAILED</stp>
        <stp>FQ1 2004</stp>
        <stp>FQ1 2004</stp>
        <stp>[FA1_ivyerigx.xlsx]Bal Sheet - Standardized!R17C25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3"/>
      </tp>
      <tp>
        <v>2138</v>
        <stp/>
        <stp>##V3_BDHV12</stp>
        <stp>XOM US Equity</stp>
        <stp>OTHER_CURRENT_ASSETS_DETAILED</stp>
        <stp>FQ1 2003</stp>
        <stp>FQ1 2003</stp>
        <stp>[FA1_ivyerigx.xlsx]Bal Sheet - Standardized!R17C21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3"/>
      </tp>
      <tp>
        <v>2404</v>
        <stp/>
        <stp>##V3_BDHV12</stp>
        <stp>XOM US Equity</stp>
        <stp>OTHER_CURRENT_ASSETS_DETAILED</stp>
        <stp>FQ2 2000</stp>
        <stp>FQ2 2000</stp>
        <stp>[FA1_ivyerigx.xlsx]Bal Sheet - Standardized!R17C10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80981</v>
        <stp/>
        <stp>##V3_BDHV12</stp>
        <stp>XOM US Equity</stp>
        <stp>BS_TOT_LIAB2</stp>
        <stp>FQ4 2003</stp>
        <stp>FQ4 2003</stp>
        <stp>[FA1_ivyerigx.xlsx]Bal Sheet - Standardized!R40C24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0" s="3"/>
      </tp>
      <tp>
        <v>75279</v>
        <stp/>
        <stp>##V3_BDHV12</stp>
        <stp>XOM US Equity</stp>
        <stp>BS_TOT_LIAB2</stp>
        <stp>FQ4 2002</stp>
        <stp>FQ4 2002</stp>
        <stp>[FA1_ivyerigx.xlsx]Bal Sheet - Standardized!R40C20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0" s="3"/>
      </tp>
      <tp>
        <v>141932</v>
        <stp/>
        <stp>##V3_BDHV12</stp>
        <stp>XOM US Equity</stp>
        <stp>BS_TOT_LIAB2</stp>
        <stp>FQ2 2008</stp>
        <stp>FQ2 2008</stp>
        <stp>[FA1_ivyerigx.xlsx]Bal Sheet - Standardized!R40C42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0" s="3"/>
      </tp>
      <tp>
        <v>89548</v>
        <stp/>
        <stp>##V3_BDHV12</stp>
        <stp>XOM US Equity</stp>
        <stp>BS_TOT_LIAB2</stp>
        <stp>FQ4 2004</stp>
        <stp>FQ4 2004</stp>
        <stp>[FA1_ivyerigx.xlsx]Bal Sheet - Standardized!R40C28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0" s="3"/>
      </tp>
      <tp>
        <v>39108</v>
        <stp/>
        <stp>##V3_BDHV12</stp>
        <stp>XOM US Equity</stp>
        <stp>IS_COGS_TO_FE_AND_PP_AND_G</stp>
        <stp>FQ4 2002</stp>
        <stp>FQ4 2002</stp>
        <stp>[FA1_ivyerigx.xlsx]Income - Adjusted!R7C20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7" s="2"/>
      </tp>
      <tp>
        <v>37227</v>
        <stp/>
        <stp>##V3_BDHV12</stp>
        <stp>XOM US Equity</stp>
        <stp>IS_COGS_TO_FE_AND_PP_AND_G</stp>
        <stp>FQ4 2000</stp>
        <stp>FQ4 2000</stp>
        <stp>[FA1_ivyerigx.xlsx]Income - Adjusted!R7C12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7" s="2"/>
      </tp>
      <tp>
        <v>6385.3580000000002</v>
        <stp/>
        <stp>##V3_BDHV12</stp>
        <stp>XOM US Equity</stp>
        <stp>EQY_SH_OUT</stp>
        <stp>FQ1 2005</stp>
        <stp>FQ1 2005</stp>
        <stp>[FA1_ivyerigx.xlsx]Stock Value!R13C29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3" s="6"/>
      </tp>
      <tp t="s">
        <v>—</v>
        <stp/>
        <stp>##V3_BDHV12</stp>
        <stp>XOM US Equity</stp>
        <stp>BS_FUTURE_MIN_OPER_LEASE_OBLIG</stp>
        <stp>FQ4 1998</stp>
        <stp>FQ4 1998</stp>
        <stp>[FA1_ivyerigx.xlsx]Bal Sheet - Standardized!R56C4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6" s="3"/>
      </tp>
      <tp t="s">
        <v>—</v>
        <stp/>
        <stp>##V3_BDHV12</stp>
        <stp>XOM US Equity</stp>
        <stp>BS_FUTURE_MIN_OPER_LEASE_OBLIG</stp>
        <stp>FQ3 1998</stp>
        <stp>FQ3 1998</stp>
        <stp>[FA1_ivyerigx.xlsx]Bal Sheet - Standardized!R56C3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6" s="3"/>
      </tp>
      <tp>
        <v>214655.1</v>
        <stp/>
        <stp>##V3_BDHV12</stp>
        <stp>XOM US Equity</stp>
        <stp>HISTORICAL_MARKET_CAP</stp>
        <stp>FQ3 2002</stp>
        <stp>FQ3 2002</stp>
        <stp>[FA1_ivyerigx.xlsx]Stock Value!R12C19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6"/>
      </tp>
      <tp>
        <v>276496.44</v>
        <stp/>
        <stp>##V3_BDHV12</stp>
        <stp>XOM US Equity</stp>
        <stp>HISTORICAL_MARKET_CAP</stp>
        <stp>FQ2 2002</stp>
        <stp>FQ2 2002</stp>
        <stp>[FA1_ivyerigx.xlsx]Stock Value!R12C18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6"/>
      </tp>
      <tp>
        <v>5832</v>
        <stp/>
        <stp>##V3_BDHV12</stp>
        <stp>XOM US Equity</stp>
        <stp>BS_SH_OUT</stp>
        <stp>FQ3 2006</stp>
        <stp>FQ3 2006</stp>
        <stp>[FA1_ivyerigx.xlsx]Per Share!R6C35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5"/>
      </tp>
      <tp>
        <v>5945</v>
        <stp/>
        <stp>##V3_BDHV12</stp>
        <stp>XOM US Equity</stp>
        <stp>BS_SH_OUT</stp>
        <stp>FQ2 2006</stp>
        <stp>FQ2 2006</stp>
        <stp>[FA1_ivyerigx.xlsx]Per Share!R6C34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5"/>
      </tp>
      <tp>
        <v>6540.0450000000001</v>
        <stp/>
        <stp>##V3_BDHV12</stp>
        <stp>XOM US Equity</stp>
        <stp>BS_SH_OUT</stp>
        <stp>FQ1 2004</stp>
        <stp>FQ1 2004</stp>
        <stp>[FA1_ivyerigx.xlsx]Per Share!R6C25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5"/>
      </tp>
      <tp>
        <v>6505.5070999999998</v>
        <stp/>
        <stp>##V3_BDHV12</stp>
        <stp>XOM US Equity</stp>
        <stp>BS_SH_OUT</stp>
        <stp>FQ2 2004</stp>
        <stp>FQ2 2004</stp>
        <stp>[FA1_ivyerigx.xlsx]Per Share!R6C26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5"/>
      </tp>
      <tp>
        <v>6451.2950000000001</v>
        <stp/>
        <stp>##V3_BDHV12</stp>
        <stp>XOM US Equity</stp>
        <stp>BS_SH_OUT</stp>
        <stp>FQ3 2004</stp>
        <stp>FQ3 2004</stp>
        <stp>[FA1_ivyerigx.xlsx]Per Share!R6C27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5"/>
      </tp>
      <tp t="s">
        <v>—</v>
        <stp/>
        <stp>##V3_BDHV12</stp>
        <stp>XOM US Equity</stp>
        <stp>BS_FUTURE_MIN_OPER_LEASE_OBLIG</stp>
        <stp>FQ3 1999</stp>
        <stp>FQ3 1999</stp>
        <stp>[FA1_ivyerigx.xlsx]Bal Sheet - Standardized!R56C7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6" s="3"/>
      </tp>
      <tp t="s">
        <v>—</v>
        <stp/>
        <stp>##V3_BDHV12</stp>
        <stp>XOM US Equity</stp>
        <stp>BS_FUTURE_MIN_OPER_LEASE_OBLIG</stp>
        <stp>FQ2 1999</stp>
        <stp>FQ2 1999</stp>
        <stp>[FA1_ivyerigx.xlsx]Bal Sheet - Standardized!R56C6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6" s="3"/>
      </tp>
      <tp t="s">
        <v>—</v>
        <stp/>
        <stp>##V3_BDHV12</stp>
        <stp>XOM US Equity</stp>
        <stp>BS_FUTURE_MIN_OPER_LEASE_OBLIG</stp>
        <stp>FQ1 1999</stp>
        <stp>FQ1 1999</stp>
        <stp>[FA1_ivyerigx.xlsx]Bal Sheet - Standardized!R56C5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6" s="3"/>
      </tp>
      <tp>
        <v>267593.7</v>
        <stp/>
        <stp>##V3_BDHV12</stp>
        <stp>XOM US Equity</stp>
        <stp>HISTORICAL_MARKET_CAP</stp>
        <stp>FQ4 2001</stp>
        <stp>FQ4 2001</stp>
        <stp>[FA1_ivyerigx.xlsx]Stock Value!R12C16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6"/>
      </tp>
      <tp>
        <v>279450</v>
        <stp/>
        <stp>##V3_BDHV12</stp>
        <stp>XOM US Equity</stp>
        <stp>HISTORICAL_MARKET_CAP</stp>
        <stp>FQ1 2001</stp>
        <stp>FQ1 2001</stp>
        <stp>[FA1_ivyerigx.xlsx]Stock Value!R12C13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6"/>
      </tp>
      <tp>
        <v>309730.71799999999</v>
        <stp/>
        <stp>##V3_BDHV12</stp>
        <stp>XOM US Equity</stp>
        <stp>HISTORICAL_MARKET_CAP</stp>
        <stp>FQ3 2000</stp>
        <stp>FQ3 2000</stp>
        <stp>[FA1_ivyerigx.xlsx]Stock Value!R12C11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6"/>
      </tp>
      <tp>
        <v>273481.51850000001</v>
        <stp/>
        <stp>##V3_BDHV12</stp>
        <stp>XOM US Equity</stp>
        <stp>HISTORICAL_MARKET_CAP</stp>
        <stp>FQ2 2000</stp>
        <stp>FQ2 2000</stp>
        <stp>[FA1_ivyerigx.xlsx]Stock Value!R12C10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6"/>
      </tp>
      <tp t="s">
        <v>—</v>
        <stp/>
        <stp>##V3_BDHV12</stp>
        <stp>XOM US Equity</stp>
        <stp>BS_FUTURE_MIN_OPER_LEASE_OBLIG</stp>
        <stp>FQ4 1999</stp>
        <stp>FQ4 1999</stp>
        <stp>[FA1_ivyerigx.xlsx]Bal Sheet - Standardized!R56C8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6" s="3"/>
      </tp>
      <tp>
        <v>301238.4375</v>
        <stp/>
        <stp>##V3_BDHV12</stp>
        <stp>XOM US Equity</stp>
        <stp>HISTORICAL_MARKET_CAP</stp>
        <stp>FQ4 2000</stp>
        <stp>FQ4 2000</stp>
        <stp>[FA1_ivyerigx.xlsx]Stock Value!R12C12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6"/>
      </tp>
      <tp>
        <v>298522.0735</v>
        <stp/>
        <stp>##V3_BDHV12</stp>
        <stp>XOM US Equity</stp>
        <stp>HISTORICAL_MARKET_CAP</stp>
        <stp>FQ2 2001</stp>
        <stp>FQ2 2001</stp>
        <stp>[FA1_ivyerigx.xlsx]Stock Value!R12C14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6"/>
      </tp>
      <tp>
        <v>297255.06</v>
        <stp/>
        <stp>##V3_BDHV12</stp>
        <stp>XOM US Equity</stp>
        <stp>HISTORICAL_MARKET_CAP</stp>
        <stp>FQ1 2002</stp>
        <stp>FQ1 2002</stp>
        <stp>[FA1_ivyerigx.xlsx]Stock Value!R12C17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6"/>
      </tp>
      <tp>
        <v>269496</v>
        <stp/>
        <stp>##V3_BDHV12</stp>
        <stp>XOM US Equity</stp>
        <stp>HISTORICAL_MARKET_CAP</stp>
        <stp>FQ3 2001</stp>
        <stp>FQ3 2001</stp>
        <stp>[FA1_ivyerigx.xlsx]Stock Value!R12C15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6"/>
      </tp>
      <tp>
        <v>-430</v>
        <stp/>
        <stp>##V3_BDHV12</stp>
        <stp>XOM US Equity</stp>
        <stp>XO_GL_NET_OF_TAX</stp>
        <stp>FQ3 2000</stp>
        <stp>FQ3 2000</stp>
        <stp>[FA1_ivyerigx.xlsx]Income - Adjusted!R31C11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2"/>
      </tp>
      <tp>
        <v>0</v>
        <stp/>
        <stp>##V3_BDHV12</stp>
        <stp>XOM US Equity</stp>
        <stp>XO_GL_NET_OF_TAX</stp>
        <stp>FQ3 2003</stp>
        <stp>FQ3 2003</stp>
        <stp>[FA1_ivyerigx.xlsx]Income - Adjusted!R21C23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2"/>
      </tp>
      <tp>
        <v>-430</v>
        <stp/>
        <stp>##V3_BDHV12</stp>
        <stp>XOM US Equity</stp>
        <stp>XO_GL_NET_OF_TAX</stp>
        <stp>FQ3 2000</stp>
        <stp>FQ3 2000</stp>
        <stp>[FA1_ivyerigx.xlsx]Income - Adjusted!R21C11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2"/>
      </tp>
      <tp>
        <v>0</v>
        <stp/>
        <stp>##V3_BDHV12</stp>
        <stp>XOM US Equity</stp>
        <stp>XO_GL_NET_OF_TAX</stp>
        <stp>FQ3 2003</stp>
        <stp>FQ3 2003</stp>
        <stp>[FA1_ivyerigx.xlsx]Income - Adjusted!R31C23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2"/>
      </tp>
      <tp>
        <v>6932</v>
        <stp/>
        <stp>##V3_BDHV12</stp>
        <stp>XOM US Equity</stp>
        <stp>CF_NET_CHNG_CASH</stp>
        <stp>FQ1 2008</stp>
        <stp>FQ1 2008</stp>
        <stp>[FA1_ivyerigx.xlsx]Cash Flow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4"/>
      </tp>
      <tp>
        <v>0</v>
        <stp/>
        <stp>##V3_BDHV12</stp>
        <stp>XOM US Equity</stp>
        <stp>XO_GL_NET_OF_TAX</stp>
        <stp>FQ1 2002</stp>
        <stp>FQ1 2002</stp>
        <stp>[FA1_ivyerigx.xlsx]Income - Adjusted!R31C17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2"/>
      </tp>
      <tp>
        <v>-175</v>
        <stp/>
        <stp>##V3_BDHV12</stp>
        <stp>XOM US Equity</stp>
        <stp>XO_GL_NET_OF_TAX</stp>
        <stp>FQ2 2001</stp>
        <stp>FQ2 2001</stp>
        <stp>[FA1_ivyerigx.xlsx]Income - Adjusted!R31C14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2"/>
      </tp>
      <tp>
        <v>0</v>
        <stp/>
        <stp>##V3_BDHV12</stp>
        <stp>XOM US Equity</stp>
        <stp>XO_GL_NET_OF_TAX</stp>
        <stp>FQ1 2002</stp>
        <stp>FQ1 2002</stp>
        <stp>[FA1_ivyerigx.xlsx]Income - Adjusted!R21C17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2"/>
      </tp>
      <tp>
        <v>-175</v>
        <stp/>
        <stp>##V3_BDHV12</stp>
        <stp>XOM US Equity</stp>
        <stp>XO_GL_NET_OF_TAX</stp>
        <stp>FQ2 2001</stp>
        <stp>FQ2 2001</stp>
        <stp>[FA1_ivyerigx.xlsx]Income - Adjusted!R21C14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2"/>
      </tp>
      <tp>
        <v>0</v>
        <stp/>
        <stp>##V3_BDHV12</stp>
        <stp>XOM US Equity</stp>
        <stp>XO_GL_NET_OF_TAX</stp>
        <stp>FQ4 2005</stp>
        <stp>FQ4 2005</stp>
        <stp>[FA1_ivyerigx.xlsx]Income - Adjusted!R31C32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2"/>
      </tp>
      <tp>
        <v>0</v>
        <stp/>
        <stp>##V3_BDHV12</stp>
        <stp>XOM US Equity</stp>
        <stp>XO_GL_NET_OF_TAX</stp>
        <stp>FQ4 2005</stp>
        <stp>FQ4 2005</stp>
        <stp>[FA1_ivyerigx.xlsx]Income - Adjusted!R21C32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2"/>
      </tp>
      <tp>
        <v>-2479</v>
        <stp/>
        <stp>##V3_BDHV12</stp>
        <stp>XOM US Equity</stp>
        <stp>CF_NET_CHNG_CASH</stp>
        <stp>FQ4 2001</stp>
        <stp>FQ4 2001</stp>
        <stp>[FA1_ivyerigx.xlsx]Cash Flow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4"/>
      </tp>
      <tp>
        <v>0</v>
        <stp/>
        <stp>##V3_BDHV12</stp>
        <stp>XOM US Equity</stp>
        <stp>XO_GL_NET_OF_TAX</stp>
        <stp>FQ4 2004</stp>
        <stp>FQ4 2004</stp>
        <stp>[FA1_ivyerigx.xlsx]Income - Adjusted!R21C28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2"/>
      </tp>
      <tp>
        <v>436</v>
        <stp/>
        <stp>##V3_BDHV12</stp>
        <stp>XOM US Equity</stp>
        <stp>CF_NET_CHNG_CASH</stp>
        <stp>FQ4 2000</stp>
        <stp>FQ4 2000</stp>
        <stp>[FA1_ivyerigx.xlsx]Cash Flow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4"/>
      </tp>
      <tp>
        <v>0</v>
        <stp/>
        <stp>##V3_BDHV12</stp>
        <stp>XOM US Equity</stp>
        <stp>XO_GL_NET_OF_TAX</stp>
        <stp>FQ4 2004</stp>
        <stp>FQ4 2004</stp>
        <stp>[FA1_ivyerigx.xlsx]Income - Adjusted!R31C28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2"/>
      </tp>
      <tp>
        <v>15.2037</v>
        <stp/>
        <stp>##V3_BDHV12</stp>
        <stp>XOM US Equity</stp>
        <stp>EBITDA_MARGIN</stp>
        <stp>FQ3 1998</stp>
        <stp>FQ3 1998</stp>
        <stp>[FA1_ivyerigx.xlsx]Cash Flow - Standardized!R43C3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43" s="4"/>
      </tp>
      <tp>
        <v>10.426500000000001</v>
        <stp/>
        <stp>##V3_BDHV12</stp>
        <stp>XOM US Equity</stp>
        <stp>EBITDA_MARGIN</stp>
        <stp>FQ2 1999</stp>
        <stp>FQ2 1999</stp>
        <stp>[FA1_ivyerigx.xlsx]Cash Flow - Standardized!R43C6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43" s="4"/>
      </tp>
      <tp>
        <v>39082</v>
        <stp/>
        <stp>##V3_BDHV12</stp>
        <stp>XOM US Equity</stp>
        <stp>ACCT_PAYABLE_&amp;_ACCRUALS_DETAILED</stp>
        <stp>FQ4 2006</stp>
        <stp>FQ4 2006</stp>
        <stp>[FA1_ivyerigx.xlsx]Bal Sheet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3"/>
      </tp>
      <tp>
        <v>22788</v>
        <stp/>
        <stp>##V3_BDHV12</stp>
        <stp>XOM US Equity</stp>
        <stp>ACCT_PAYABLE_&amp;_ACCRUALS_DETAILED</stp>
        <stp>FQ4 2005</stp>
        <stp>FQ4 2005</stp>
        <stp>[FA1_ivyerigx.xlsx]Bal Sheet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3"/>
      </tp>
      <tp>
        <v>1.2044999999999999</v>
        <stp/>
        <stp>##V3_BDHV12</stp>
        <stp>XOM US Equity</stp>
        <stp>CASH_FLOW_TO_NET_INC</stp>
        <stp>FQ3 2000</stp>
        <stp>FQ3 2000</stp>
        <stp>[FA1_ivyerigx.xlsx]Cash Flow - Standardized!R51C11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51" s="4"/>
      </tp>
      <tp>
        <v>1.3166</v>
        <stp/>
        <stp>##V3_BDHV12</stp>
        <stp>XOM US Equity</stp>
        <stp>CASH_FLOW_TO_NET_INC</stp>
        <stp>FQ2 2000</stp>
        <stp>FQ2 2000</stp>
        <stp>[FA1_ivyerigx.xlsx]Cash Flow - Standardized!R51C10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51" s="4"/>
      </tp>
      <tp>
        <v>1.1637999999999999</v>
        <stp/>
        <stp>##V3_BDHV12</stp>
        <stp>XOM US Equity</stp>
        <stp>CASH_FLOW_TO_NET_INC</stp>
        <stp>FQ4 2000</stp>
        <stp>FQ4 2000</stp>
        <stp>[FA1_ivyerigx.xlsx]Cash Flow - Standardized!R51C12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51" s="4"/>
      </tp>
      <tp>
        <v>-1.4586999999999999</v>
        <stp/>
        <stp>##V3_BDHV12</stp>
        <stp>XOM US Equity</stp>
        <stp>CHG_PCT_PERIOD</stp>
        <stp>FQ3 1999</stp>
        <stp>FQ3 1999</stp>
        <stp>[FA1_ivyerigx.xlsx]Stock Value!R7C7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6"/>
      </tp>
      <tp>
        <v>1662</v>
        <stp/>
        <stp>##V3_BDHV12</stp>
        <stp>XOM US Equity</stp>
        <stp>EBIT</stp>
        <stp>FQ3 1998</stp>
        <stp>FQ3 1998</stp>
        <stp>[FA1_ivyerigx.xlsx]Income - Adjusted!R48C3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8" s="2"/>
      </tp>
      <tp t="s">
        <v>—</v>
        <stp/>
        <stp>##V3_BDHV12</stp>
        <stp>XOM US Equity</stp>
        <stp>EBIT</stp>
        <stp>FQ4 1998</stp>
        <stp>FQ4 1998</stp>
        <stp>[FA1_ivyerigx.xlsx]Income - Adjusted!R48C4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8" s="2"/>
      </tp>
      <tp>
        <v>0.56669999999999998</v>
        <stp/>
        <stp>##V3_BDHV12</stp>
        <stp>XOM US Equity</stp>
        <stp>CASH_FLOW_PER_SH</stp>
        <stp>FQ1 1999</stp>
        <stp>FQ1 1999</stp>
        <stp>[FA1_ivyerigx.xlsx]Per Share!R22C5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2" s="5"/>
      </tp>
      <tp>
        <v>0.47120000000000001</v>
        <stp/>
        <stp>##V3_BDHV12</stp>
        <stp>XOM US Equity</stp>
        <stp>CASH_FLOW_PER_SH</stp>
        <stp>FQ2 1999</stp>
        <stp>FQ2 1999</stp>
        <stp>[FA1_ivyerigx.xlsx]Per Share!R22C6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2" s="5"/>
      </tp>
      <tp>
        <v>0.58009999999999995</v>
        <stp/>
        <stp>##V3_BDHV12</stp>
        <stp>XOM US Equity</stp>
        <stp>CASH_FLOW_PER_SH</stp>
        <stp>FQ3 1999</stp>
        <stp>FQ3 1999</stp>
        <stp>[FA1_ivyerigx.xlsx]Per Share!R22C7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2" s="5"/>
      </tp>
      <tp>
        <v>-12.1477</v>
        <stp/>
        <stp>##V3_BDHV12</stp>
        <stp>XOM US Equity</stp>
        <stp>CASH_CONVERSION_CYCLE</stp>
        <stp>FQ3 2004</stp>
        <stp>FQ3 2004</stp>
        <stp>[FA1_ivyerigx.xlsx]Bal Sheet - Standardized!R64C27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64" s="3"/>
      </tp>
      <tp>
        <v>-11.074999999999999</v>
        <stp/>
        <stp>##V3_BDHV12</stp>
        <stp>XOM US Equity</stp>
        <stp>CASH_CONVERSION_CYCLE</stp>
        <stp>FQ2 2004</stp>
        <stp>FQ2 2004</stp>
        <stp>[FA1_ivyerigx.xlsx]Bal Sheet - Standardized!R64C26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64" s="3"/>
      </tp>
      <tp>
        <v>-11.0459</v>
        <stp/>
        <stp>##V3_BDHV12</stp>
        <stp>XOM US Equity</stp>
        <stp>CASH_CONVERSION_CYCLE</stp>
        <stp>FQ1 2004</stp>
        <stp>FQ1 2004</stp>
        <stp>[FA1_ivyerigx.xlsx]Bal Sheet - Standardized!R64C25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64" s="3"/>
      </tp>
      <tp>
        <v>18.519600000000001</v>
        <stp/>
        <stp>##V3_BDHV12</stp>
        <stp>XOM US Equity</stp>
        <stp>CASH_CONVERSION_CYCLE</stp>
        <stp>FQ4 2004</stp>
        <stp>FQ4 2004</stp>
        <stp>[FA1_ivyerigx.xlsx]Bal Sheet - Standardized!R64C28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64" s="3"/>
      </tp>
      <tp>
        <v>4.6992000000000003</v>
        <stp/>
        <stp>##V3_BDHV12</stp>
        <stp>XOM US Equity</stp>
        <stp>CASH_ST_INVESTMENTS_PER_SH</stp>
        <stp>FQ3 2005</stp>
        <stp>FQ3 2005</stp>
        <stp>[FA1_ivyerigx.xlsx]Per Share!R25C31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5" s="5"/>
      </tp>
      <tp>
        <v>1.3195999999999999</v>
        <stp/>
        <stp>##V3_BDHV12</stp>
        <stp>XOM US Equity</stp>
        <stp>CASH_ST_INVESTMENTS_PER_SH</stp>
        <stp>FQ3 2001</stp>
        <stp>FQ3 2001</stp>
        <stp>[FA1_ivyerigx.xlsx]Per Share!R25C15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5" s="5"/>
      </tp>
      <tp>
        <v>2151</v>
        <stp/>
        <stp>##V3_BDHV12</stp>
        <stp>XOM US Equity</stp>
        <stp>OTHER_CURRENT_ASSETS_DETAILED</stp>
        <stp>FQ3 2002</stp>
        <stp>FQ3 2002</stp>
        <stp>[FA1_ivyerigx.xlsx]Bal Sheet - Standardized!R17C19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3"/>
      </tp>
      <tp>
        <v>31377</v>
        <stp/>
        <stp>##V3_BDHV12</stp>
        <stp>XOM US Equity</stp>
        <stp>IS_COGS_TO_FE_AND_PP_AND_G</stp>
        <stp>FQ1 2000</stp>
        <stp>FQ1 2000</stp>
        <stp>[FA1_ivyerigx.xlsx]Income - Adjusted!R7C9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7" s="2"/>
      </tp>
      <tp>
        <v>7983</v>
        <stp/>
        <stp>##V3_BDHV12</stp>
        <stp>XOM US Equity</stp>
        <stp>OTHER_CURRENT_ASSETS_DETAILED</stp>
        <stp>FQ1 2006</stp>
        <stp>FQ1 2006</stp>
        <stp>[FA1_ivyerigx.xlsx]Bal Sheet - Standardized!R17C33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3"/>
      </tp>
      <tp>
        <v>2174</v>
        <stp/>
        <stp>##V3_BDHV12</stp>
        <stp>XOM US Equity</stp>
        <stp>OTHER_CURRENT_ASSETS_DETAILED</stp>
        <stp>FQ3 2001</stp>
        <stp>FQ3 2001</stp>
        <stp>[FA1_ivyerigx.xlsx]Bal Sheet - Standardized!R17C15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3"/>
      </tp>
      <tp>
        <v>7884</v>
        <stp/>
        <stp>##V3_BDHV12</stp>
        <stp>XOM US Equity</stp>
        <stp>OTHER_CURRENT_ASSETS_DETAILED</stp>
        <stp>FQ1 2007</stp>
        <stp>FQ1 2007</stp>
        <stp>[FA1_ivyerigx.xlsx]Bal Sheet - Standardized!R17C37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3"/>
      </tp>
      <tp>
        <v>2662</v>
        <stp/>
        <stp>##V3_BDHV12</stp>
        <stp>XOM US Equity</stp>
        <stp>OTHER_CURRENT_ASSETS_DETAILED</stp>
        <stp>FQ3 2000</stp>
        <stp>FQ3 2000</stp>
        <stp>[FA1_ivyerigx.xlsx]Bal Sheet - Standardized!R17C11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93622</v>
        <stp/>
        <stp>##V3_BDHV12</stp>
        <stp>XOM US Equity</stp>
        <stp>BS_TOT_LIAB2</stp>
        <stp>FQ4 2005</stp>
        <stp>FQ4 2005</stp>
        <stp>[FA1_ivyerigx.xlsx]Bal Sheet - Standardized!R40C32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0" s="3"/>
      </tp>
      <tp>
        <v>105171</v>
        <stp/>
        <stp>##V3_BDHV12</stp>
        <stp>XOM US Equity</stp>
        <stp>BS_TOT_LIAB2</stp>
        <stp>FQ4 2006</stp>
        <stp>FQ4 2006</stp>
        <stp>[FA1_ivyerigx.xlsx]Bal Sheet - Standardized!R40C36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0" s="3"/>
      </tp>
      <tp>
        <v>72245</v>
        <stp/>
        <stp>##V3_BDHV12</stp>
        <stp>XOM US Equity</stp>
        <stp>IS_COGS_TO_FE_AND_PP_AND_G</stp>
        <stp>FQ3 2005</stp>
        <stp>FQ3 2005</stp>
        <stp>[FA1_ivyerigx.xlsx]Income - Adjusted!R7C31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7" s="2"/>
      </tp>
      <tp>
        <v>64129</v>
        <stp/>
        <stp>##V3_BDHV12</stp>
        <stp>XOM US Equity</stp>
        <stp>IS_COGS_TO_FE_AND_PP_AND_G</stp>
        <stp>FQ2 2005</stp>
        <stp>FQ2 2005</stp>
        <stp>[FA1_ivyerigx.xlsx]Income - Adjusted!R7C30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7" s="2"/>
      </tp>
      <tp>
        <v>37697</v>
        <stp/>
        <stp>##V3_BDHV12</stp>
        <stp>XOM US Equity</stp>
        <stp>IS_COGS_TO_FE_AND_PP_AND_G</stp>
        <stp>FQ3 2001</stp>
        <stp>FQ3 2001</stp>
        <stp>[FA1_ivyerigx.xlsx]Income - Adjusted!R7C15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7" s="2"/>
      </tp>
      <tp>
        <v>32228</v>
        <stp/>
        <stp>##V3_BDHV12</stp>
        <stp>XOM US Equity</stp>
        <stp>IS_COGS_TO_FE_AND_PP_AND_G</stp>
        <stp>FQ2 2001</stp>
        <stp>FQ2 2001</stp>
        <stp>[FA1_ivyerigx.xlsx]Income - Adjusted!R7C14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7" s="2"/>
      </tp>
      <tp>
        <v>5633</v>
        <stp/>
        <stp>##V3_BDHV12</stp>
        <stp>XOM US Equity</stp>
        <stp>BS_SH_OUT</stp>
        <stp>FQ1 2007</stp>
        <stp>FQ1 2007</stp>
        <stp>[FA1_ivyerigx.xlsx]Per Share!R6C37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5"/>
      </tp>
      <tp>
        <v>0</v>
        <stp/>
        <stp>##V3_BDHV12</stp>
        <stp>XOM US Equity</stp>
        <stp>XO_GL_NET_OF_TAX</stp>
        <stp>FQ4 2006</stp>
        <stp>FQ4 2006</stp>
        <stp>[FA1_ivyerigx.xlsx]Income - Adjusted!R21C36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2"/>
      </tp>
      <tp>
        <v>0</v>
        <stp/>
        <stp>##V3_BDHV12</stp>
        <stp>XOM US Equity</stp>
        <stp>XO_GL_NET_OF_TAX</stp>
        <stp>FQ4 2006</stp>
        <stp>FQ4 2006</stp>
        <stp>[FA1_ivyerigx.xlsx]Income - Adjusted!R31C36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2"/>
      </tp>
      <tp>
        <v>6314</v>
        <stp/>
        <stp>##V3_BDHV12</stp>
        <stp>XOM US Equity</stp>
        <stp>OTHER_NONCURRENT_ASSETS_DETAILED</stp>
        <stp>FQ4 2006</stp>
        <stp>FQ4 2006</stp>
        <stp>[FA1_ivyerigx.xlsx]Bal Sheet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3"/>
      </tp>
      <tp>
        <v>-40</v>
        <stp/>
        <stp>##V3_BDHV12</stp>
        <stp>XOM US Equity</stp>
        <stp>XO_GL_NET_OF_TAX</stp>
        <stp>FQ1 2001</stp>
        <stp>FQ1 2001</stp>
        <stp>[FA1_ivyerigx.xlsx]Income - Adjusted!R21C13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2"/>
      </tp>
      <tp>
        <v>2423</v>
        <stp/>
        <stp>##V3_BDHV12</stp>
        <stp>XOM US Equity</stp>
        <stp>CF_NET_CHNG_CASH</stp>
        <stp>FQ4 2004</stp>
        <stp>FQ4 2004</stp>
        <stp>[FA1_ivyerigx.xlsx]Cash Flow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4"/>
      </tp>
      <tp>
        <v>-1945</v>
        <stp/>
        <stp>##V3_BDHV12</stp>
        <stp>XOM US Equity</stp>
        <stp>CF_NET_CHNG_CASH</stp>
        <stp>FQ2 2008</stp>
        <stp>FQ2 2008</stp>
        <stp>[FA1_ivyerigx.xlsx]Cash Flow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4"/>
      </tp>
      <tp>
        <v>-40</v>
        <stp/>
        <stp>##V3_BDHV12</stp>
        <stp>XOM US Equity</stp>
        <stp>XO_GL_NET_OF_TAX</stp>
        <stp>FQ1 2001</stp>
        <stp>FQ1 2001</stp>
        <stp>[FA1_ivyerigx.xlsx]Income - Adjusted!R31C13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2"/>
      </tp>
      <tp>
        <v>25087</v>
        <stp/>
        <stp>##V3_BDHV12</stp>
        <stp>XOM US Equity</stp>
        <stp>OTHER_NONCURRENT_ASSETS_DETAILED</stp>
        <stp>FQ4 2005</stp>
        <stp>FQ4 2005</stp>
        <stp>[FA1_ivyerigx.xlsx]Bal Sheet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3"/>
      </tp>
      <tp>
        <v>-389</v>
        <stp/>
        <stp>##V3_BDHV12</stp>
        <stp>XOM US Equity</stp>
        <stp>CF_NET_CHNG_CASH</stp>
        <stp>FQ4 2003</stp>
        <stp>FQ4 2003</stp>
        <stp>[FA1_ivyerigx.xlsx]Cash Flow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4"/>
      </tp>
      <tp>
        <v>0</v>
        <stp/>
        <stp>##V3_BDHV12</stp>
        <stp>XOM US Equity</stp>
        <stp>XO_GL_NET_OF_TAX</stp>
        <stp>FQ2 2002</stp>
        <stp>FQ2 2002</stp>
        <stp>[FA1_ivyerigx.xlsx]Income - Adjusted!R21C18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2"/>
      </tp>
      <tp>
        <v>0</v>
        <stp/>
        <stp>##V3_BDHV12</stp>
        <stp>XOM US Equity</stp>
        <stp>XO_GL_NET_OF_TAX</stp>
        <stp>FQ2 2002</stp>
        <stp>FQ2 2002</stp>
        <stp>[FA1_ivyerigx.xlsx]Income - Adjusted!R31C18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2"/>
      </tp>
      <tp>
        <v>292</v>
        <stp/>
        <stp>##V3_BDHV12</stp>
        <stp>XOM US Equity</stp>
        <stp>CF_NET_CHNG_CASH</stp>
        <stp>FQ4 2002</stp>
        <stp>FQ4 2002</stp>
        <stp>[FA1_ivyerigx.xlsx]Cash Flow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4"/>
      </tp>
      <tp t="s">
        <v>—</v>
        <stp/>
        <stp>##V3_BDHV12</stp>
        <stp>XOM US Equity</stp>
        <stp>ACTUAL_SALES_PER_EMPL</stp>
        <stp>FQ3 1998</stp>
        <stp>FQ3 1998</stp>
        <stp>[FA1_ivyerigx.xlsx]Income - Adjusted!R52C3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2" s="2"/>
      </tp>
      <tp t="s">
        <v>—</v>
        <stp/>
        <stp>##V3_BDHV12</stp>
        <stp>XOM US Equity</stp>
        <stp>ACTUAL_SALES_PER_EMPL</stp>
        <stp>FQ4 1998</stp>
        <stp>FQ4 1998</stp>
        <stp>[FA1_ivyerigx.xlsx]Income - Adjusted!R52C4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2" s="2"/>
      </tp>
      <tp>
        <v>10.622199999999999</v>
        <stp/>
        <stp>##V3_BDHV12</stp>
        <stp>XOM US Equity</stp>
        <stp>EBITDA_MARGIN</stp>
        <stp>FQ1 1999</stp>
        <stp>FQ1 1999</stp>
        <stp>[FA1_ivyerigx.xlsx]Cash Flow - Standardized!R43C5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43" s="4"/>
      </tp>
      <tp>
        <v>12.5383</v>
        <stp/>
        <stp>##V3_BDHV12</stp>
        <stp>XOM US Equity</stp>
        <stp>EBITDA_MARGIN</stp>
        <stp>FQ1 2000</stp>
        <stp>FQ1 2000</stp>
        <stp>[FA1_ivyerigx.xlsx]Cash Flow - Standardized!R43C9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43" s="4"/>
      </tp>
      <tp>
        <v>5339.9989999999998</v>
        <stp/>
        <stp>##V3_BDHV12</stp>
        <stp>XOM US Equity</stp>
        <stp>EQY_FLOAT</stp>
        <stp>FQ1 2008</stp>
        <stp>FQ1 2008</stp>
        <stp>[FA1_ivyerigx.xlsx]Stock Value!R14C41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4" s="6"/>
      </tp>
      <tp>
        <v>5273.0540000000001</v>
        <stp/>
        <stp>##V3_BDHV12</stp>
        <stp>XOM US Equity</stp>
        <stp>EQY_FLOAT</stp>
        <stp>FQ2 2008</stp>
        <stp>FQ2 2008</stp>
        <stp>[FA1_ivyerigx.xlsx]Stock Value!R14C42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4" s="6"/>
      </tp>
      <tp>
        <v>1.7624</v>
        <stp/>
        <stp>##V3_BDHV12</stp>
        <stp>XOM US Equity</stp>
        <stp>CASH_FLOW_TO_NET_INC</stp>
        <stp>FQ2 2003</stp>
        <stp>FQ2 2003</stp>
        <stp>[FA1_ivyerigx.xlsx]Cash Flow - Standardized!R51C22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51" s="4"/>
      </tp>
      <tp>
        <v>1.5627</v>
        <stp/>
        <stp>##V3_BDHV12</stp>
        <stp>XOM US Equity</stp>
        <stp>CASH_FLOW_TO_NET_INC</stp>
        <stp>FQ3 2003</stp>
        <stp>FQ3 2003</stp>
        <stp>[FA1_ivyerigx.xlsx]Cash Flow - Standardized!R51C23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51" s="4"/>
      </tp>
      <tp>
        <v>1.2281</v>
        <stp/>
        <stp>##V3_BDHV12</stp>
        <stp>XOM US Equity</stp>
        <stp>CASH_FLOW_TO_NET_INC</stp>
        <stp>FQ1 2003</stp>
        <stp>FQ1 2003</stp>
        <stp>[FA1_ivyerigx.xlsx]Cash Flow - Standardized!R51C21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51" s="4"/>
      </tp>
      <tp>
        <v>1.0224</v>
        <stp/>
        <stp>##V3_BDHV12</stp>
        <stp>XOM US Equity</stp>
        <stp>CASH_FLOW_TO_NET_INC</stp>
        <stp>FQ4 2003</stp>
        <stp>FQ4 2003</stp>
        <stp>[FA1_ivyerigx.xlsx]Cash Flow - Standardized!R51C24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51" s="4"/>
      </tp>
      <tp>
        <v>6601.0969999999998</v>
        <stp/>
        <stp>##V3_BDHV12</stp>
        <stp>XOM US Equity</stp>
        <stp>EQY_FLOAT</stp>
        <stp>FQ4 2003</stp>
        <stp>FQ4 2003</stp>
        <stp>[FA1_ivyerigx.xlsx]Stock Value!R14C24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4" s="6"/>
      </tp>
      <tp t="s">
        <v>—</v>
        <stp/>
        <stp>##V3_BDHV12</stp>
        <stp>XOM US Equity</stp>
        <stp>EQY_FLOAT</stp>
        <stp>FQ2 2003</stp>
        <stp>FQ2 2003</stp>
        <stp>[FA1_ivyerigx.xlsx]Stock Value!R14C22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4" s="6"/>
      </tp>
      <tp t="s">
        <v>—</v>
        <stp/>
        <stp>##V3_BDHV12</stp>
        <stp>XOM US Equity</stp>
        <stp>EQY_FLOAT</stp>
        <stp>FQ3 2003</stp>
        <stp>FQ3 2003</stp>
        <stp>[FA1_ivyerigx.xlsx]Stock Value!R14C23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4" s="6"/>
      </tp>
      <tp t="s">
        <v>—</v>
        <stp/>
        <stp>##V3_BDHV12</stp>
        <stp>XOM US Equity</stp>
        <stp>EQY_FLOAT</stp>
        <stp>FQ1 2003</stp>
        <stp>FQ1 2003</stp>
        <stp>[FA1_ivyerigx.xlsx]Stock Value!R14C21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4" s="6"/>
      </tp>
      <tp>
        <v>-6.5716000000000001</v>
        <stp/>
        <stp>##V3_BDHV12</stp>
        <stp>XOM US Equity</stp>
        <stp>CASH_CONVERSION_CYCLE</stp>
        <stp>FQ2 2007</stp>
        <stp>FQ2 2007</stp>
        <stp>[FA1_ivyerigx.xlsx]Bal Sheet - Standardized!R64C38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64" s="3"/>
      </tp>
      <tp>
        <v>-7.3029999999999999</v>
        <stp/>
        <stp>##V3_BDHV12</stp>
        <stp>XOM US Equity</stp>
        <stp>CASH_CONVERSION_CYCLE</stp>
        <stp>FQ3 2007</stp>
        <stp>FQ3 2007</stp>
        <stp>[FA1_ivyerigx.xlsx]Bal Sheet - Standardized!R64C39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64" s="3"/>
      </tp>
      <tp>
        <v>-6.7641</v>
        <stp/>
        <stp>##V3_BDHV12</stp>
        <stp>XOM US Equity</stp>
        <stp>CASH_CONVERSION_CYCLE</stp>
        <stp>FQ4 2007</stp>
        <stp>FQ4 2007</stp>
        <stp>[FA1_ivyerigx.xlsx]Bal Sheet - Standardized!R64C40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64" s="3"/>
      </tp>
      <tp>
        <v>-7.5397999999999996</v>
        <stp/>
        <stp>##V3_BDHV12</stp>
        <stp>XOM US Equity</stp>
        <stp>CASH_CONVERSION_CYCLE</stp>
        <stp>FQ1 2007</stp>
        <stp>FQ1 2007</stp>
        <stp>[FA1_ivyerigx.xlsx]Bal Sheet - Standardized!R64C37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64" s="3"/>
      </tp>
      <tp>
        <v>6.4103000000000003</v>
        <stp/>
        <stp>##V3_BDHV12</stp>
        <stp>XOM US Equity</stp>
        <stp>CASH_ST_INVESTMENTS_PER_SH</stp>
        <stp>FQ4 2007</stp>
        <stp>FQ4 2007</stp>
        <stp>[FA1_ivyerigx.xlsx]Per Share!R25C40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5" s="5"/>
      </tp>
      <tp>
        <v>1.6177999999999999</v>
        <stp/>
        <stp>##V3_BDHV12</stp>
        <stp>XOM US Equity</stp>
        <stp>CASH_ST_INVESTMENTS_PER_SH</stp>
        <stp>FQ4 2003</stp>
        <stp>FQ4 2003</stp>
        <stp>[FA1_ivyerigx.xlsx]Per Share!R25C24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5" s="5"/>
      </tp>
      <tp>
        <v>0.96150000000000002</v>
        <stp/>
        <stp>##V3_BDHV12</stp>
        <stp>XOM US Equity</stp>
        <stp>CASH_ST_INVESTMENTS_PER_SH</stp>
        <stp>FQ4 2001</stp>
        <stp>FQ4 2001</stp>
        <stp>[FA1_ivyerigx.xlsx]Per Share!R25C16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5" s="5"/>
      </tp>
      <tp>
        <v>4.6749000000000001</v>
        <stp/>
        <stp>##V3_BDHV12</stp>
        <stp>XOM US Equity</stp>
        <stp>CASH_ST_INVESTMENTS_PER_SH</stp>
        <stp>FQ4 2005</stp>
        <stp>FQ4 2005</stp>
        <stp>[FA1_ivyerigx.xlsx]Per Share!R25C32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5" s="5"/>
      </tp>
      <tp>
        <v>8551</v>
        <stp/>
        <stp>##V3_BDHV12</stp>
        <stp>XOM US Equity</stp>
        <stp>OTHER_CURRENT_ASSETS_DETAILED</stp>
        <stp>FQ2 2007</stp>
        <stp>FQ2 2007</stp>
        <stp>[FA1_ivyerigx.xlsx]Bal Sheet - Standardized!R17C38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3"/>
      </tp>
      <tp>
        <v>7683</v>
        <stp/>
        <stp>##V3_BDHV12</stp>
        <stp>XOM US Equity</stp>
        <stp>OTHER_CURRENT_ASSETS_DETAILED</stp>
        <stp>FQ2 2005</stp>
        <stp>FQ2 2005</stp>
        <stp>[FA1_ivyerigx.xlsx]Bal Sheet - Standardized!R17C30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3"/>
      </tp>
      <tp>
        <v>7242</v>
        <stp/>
        <stp>##V3_BDHV12</stp>
        <stp>XOM US Equity</stp>
        <stp>OTHER_CURRENT_ASSETS_DETAILED</stp>
        <stp>FQ3 2004</stp>
        <stp>FQ3 2004</stp>
        <stp>[FA1_ivyerigx.xlsx]Bal Sheet - Standardized!R17C27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3"/>
      </tp>
      <tp>
        <v>8109</v>
        <stp/>
        <stp>##V3_BDHV12</stp>
        <stp>XOM US Equity</stp>
        <stp>OTHER_CURRENT_ASSETS_DETAILED</stp>
        <stp>FQ2 2006</stp>
        <stp>FQ2 2006</stp>
        <stp>[FA1_ivyerigx.xlsx]Bal Sheet - Standardized!R17C34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3"/>
      </tp>
      <tp>
        <v>1938</v>
        <stp/>
        <stp>##V3_BDHV12</stp>
        <stp>XOM US Equity</stp>
        <stp>OTHER_CURRENT_ASSETS_DETAILED</stp>
        <stp>FQ3 2003</stp>
        <stp>FQ3 2003</stp>
        <stp>[FA1_ivyerigx.xlsx]Bal Sheet - Standardized!R17C23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3"/>
      </tp>
      <tp>
        <v>63091</v>
        <stp/>
        <stp>##V3_BDHV12</stp>
        <stp>XOM US Equity</stp>
        <stp>IS_COGS_TO_FE_AND_PP_AND_G</stp>
        <stp>FQ4 2006</stp>
        <stp>FQ4 2006</stp>
        <stp>[FA1_ivyerigx.xlsx]Income - Adjusted!R7C36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7" s="2"/>
      </tp>
      <tp>
        <v>61762</v>
        <stp/>
        <stp>##V3_BDHV12</stp>
        <stp>XOM US Equity</stp>
        <stp>IS_COGS_TO_FE_AND_PP_AND_G</stp>
        <stp>FQ1 2006</stp>
        <stp>FQ1 2006</stp>
        <stp>[FA1_ivyerigx.xlsx]Income - Adjusted!R7C33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7" s="2"/>
      </tp>
      <tp>
        <v>23891</v>
        <stp/>
        <stp>##V3_BDHV12</stp>
        <stp>XOM US Equity</stp>
        <stp>IS_COGS_TO_FE_AND_PP_AND_G</stp>
        <stp>FQ1 2002</stp>
        <stp>FQ1 2002</stp>
        <stp>[FA1_ivyerigx.xlsx]Income - Adjusted!R7C17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7" s="2"/>
      </tp>
      <tp>
        <v>0.21</v>
        <stp/>
        <stp>##V3_BDHV12</stp>
        <stp>XOM US Equity</stp>
        <stp>IS_DIL_EPS_BEF_XO</stp>
        <stp>FQ1 1999</stp>
        <stp>FQ1 1999</stp>
        <stp>[FA1_ivyerigx.xlsx]Per Share!R18C5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8" s="5"/>
      </tp>
      <tp>
        <v>0.30499999999999999</v>
        <stp/>
        <stp>##V3_BDHV12</stp>
        <stp>XOM US Equity</stp>
        <stp>IS_DIL_EPS_BEF_XO</stp>
        <stp>FQ3 1999</stp>
        <stp>FQ3 1999</stp>
        <stp>[FA1_ivyerigx.xlsx]Per Share!R18C7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8" s="5"/>
      </tp>
      <tp>
        <v>0.245</v>
        <stp/>
        <stp>##V3_BDHV12</stp>
        <stp>XOM US Equity</stp>
        <stp>IS_DIL_EPS_BEF_XO</stp>
        <stp>FQ2 1999</stp>
        <stp>FQ2 1999</stp>
        <stp>[FA1_ivyerigx.xlsx]Per Share!R18C6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8" s="5"/>
      </tp>
      <tp>
        <v>5546.2619999999997</v>
        <stp/>
        <stp>##V3_BDHV12</stp>
        <stp>XOM US Equity</stp>
        <stp>EQY_SH_OUT</stp>
        <stp>FQ3 2007</stp>
        <stp>FQ3 2007</stp>
        <stp>[FA1_ivyerigx.xlsx]Stock Value!R13C39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3" s="6"/>
      </tp>
      <tp>
        <v>5633.27</v>
        <stp/>
        <stp>##V3_BDHV12</stp>
        <stp>XOM US Equity</stp>
        <stp>EQY_SH_OUT</stp>
        <stp>FQ2 2007</stp>
        <stp>FQ2 2007</stp>
        <stp>[FA1_ivyerigx.xlsx]Stock Value!R13C38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3" s="6"/>
      </tp>
      <tp>
        <v>6782.0209999999997</v>
        <stp/>
        <stp>##V3_BDHV12</stp>
        <stp>XOM US Equity</stp>
        <stp>EQY_SH_OUT</stp>
        <stp>FQ2 2002</stp>
        <stp>FQ2 2002</stp>
        <stp>[FA1_ivyerigx.xlsx]Stock Value!R13C18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3" s="6"/>
      </tp>
      <tp>
        <v>6757.4409999999998</v>
        <stp/>
        <stp>##V3_BDHV12</stp>
        <stp>XOM US Equity</stp>
        <stp>EQY_SH_OUT</stp>
        <stp>FQ3 2002</stp>
        <stp>FQ3 2002</stp>
        <stp>[FA1_ivyerigx.xlsx]Stock Value!R13C19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3" s="6"/>
      </tp>
      <tp>
        <v>465198.48</v>
        <stp/>
        <stp>##V3_BDHV12</stp>
        <stp>XOM US Equity</stp>
        <stp>HISTORICAL_MARKET_CAP</stp>
        <stp>FQ2 2007</stp>
        <stp>FQ2 2007</stp>
        <stp>[FA1_ivyerigx.xlsx]Stock Value!R12C38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6"/>
      </tp>
      <tp>
        <v>505655.28</v>
        <stp/>
        <stp>##V3_BDHV12</stp>
        <stp>XOM US Equity</stp>
        <stp>HISTORICAL_MARKET_CAP</stp>
        <stp>FQ3 2007</stp>
        <stp>FQ3 2007</stp>
        <stp>[FA1_ivyerigx.xlsx]Stock Value!R12C39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6"/>
      </tp>
      <tp>
        <v>6952</v>
        <stp/>
        <stp>##V3_BDHV12</stp>
        <stp>XOM US Equity</stp>
        <stp>BS_SH_OUT</stp>
        <stp>FQ3 2000</stp>
        <stp>FQ3 2000</stp>
        <stp>[FA1_ivyerigx.xlsx]Per Share!R6C11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5"/>
      </tp>
      <tp>
        <v>6967.6819999999998</v>
        <stp/>
        <stp>##V3_BDHV12</stp>
        <stp>XOM US Equity</stp>
        <stp>BS_SH_OUT</stp>
        <stp>FQ2 2000</stp>
        <stp>FQ2 2000</stp>
        <stp>[FA1_ivyerigx.xlsx]Per Share!R6C10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5"/>
      </tp>
      <tp>
        <v>362355.91159999999</v>
        <stp/>
        <stp>##V3_BDHV12</stp>
        <stp>XOM US Equity</stp>
        <stp>HISTORICAL_MARKET_CAP</stp>
        <stp>FQ2 2005</stp>
        <stp>FQ2 2005</stp>
        <stp>[FA1_ivyerigx.xlsx]Stock Value!R12C30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6"/>
      </tp>
      <tp>
        <v>368203</v>
        <stp/>
        <stp>##V3_BDHV12</stp>
        <stp>XOM US Equity</stp>
        <stp>HISTORICAL_MARKET_CAP</stp>
        <stp>FQ1 2006</stp>
        <stp>FQ1 2006</stp>
        <stp>[FA1_ivyerigx.xlsx]Stock Value!R12C33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6"/>
      </tp>
      <tp>
        <v>395371.022</v>
        <stp/>
        <stp>##V3_BDHV12</stp>
        <stp>XOM US Equity</stp>
        <stp>HISTORICAL_MARKET_CAP</stp>
        <stp>FQ3 2005</stp>
        <stp>FQ3 2005</stp>
        <stp>[FA1_ivyerigx.xlsx]Stock Value!R12C31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6"/>
      </tp>
      <tp>
        <v>439013.27</v>
        <stp/>
        <stp>##V3_BDHV12</stp>
        <stp>XOM US Equity</stp>
        <stp>HISTORICAL_MARKET_CAP</stp>
        <stp>FQ4 2006</stp>
        <stp>FQ4 2006</stp>
        <stp>[FA1_ivyerigx.xlsx]Stock Value!R12C36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6"/>
      </tp>
      <tp>
        <v>391327.2</v>
        <stp/>
        <stp>##V3_BDHV12</stp>
        <stp>XOM US Equity</stp>
        <stp>HISTORICAL_MARKET_CAP</stp>
        <stp>FQ3 2006</stp>
        <stp>FQ3 2006</stp>
        <stp>[FA1_ivyerigx.xlsx]Stock Value!R12C35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6"/>
      </tp>
      <tp>
        <v>364725.75</v>
        <stp/>
        <stp>##V3_BDHV12</stp>
        <stp>XOM US Equity</stp>
        <stp>HISTORICAL_MARKET_CAP</stp>
        <stp>FQ2 2006</stp>
        <stp>FQ2 2006</stp>
        <stp>[FA1_ivyerigx.xlsx]Stock Value!R12C34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6"/>
      </tp>
      <tp>
        <v>425009.85</v>
        <stp/>
        <stp>##V3_BDHV12</stp>
        <stp>XOM US Equity</stp>
        <stp>HISTORICAL_MARKET_CAP</stp>
        <stp>FQ1 2007</stp>
        <stp>FQ1 2007</stp>
        <stp>[FA1_ivyerigx.xlsx]Stock Value!R12C37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6"/>
      </tp>
      <tp>
        <v>344490.61</v>
        <stp/>
        <stp>##V3_BDHV12</stp>
        <stp>XOM US Equity</stp>
        <stp>HISTORICAL_MARKET_CAP</stp>
        <stp>FQ4 2005</stp>
        <stp>FQ4 2005</stp>
        <stp>[FA1_ivyerigx.xlsx]Stock Value!R12C32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6"/>
      </tp>
      <tp>
        <v>18249</v>
        <stp/>
        <stp>##V3_BDHV12</stp>
        <stp>XOM US Equity</stp>
        <stp>OTHER_NONCURRENT_ASSETS_DETAILED</stp>
        <stp>FQ4 2002</stp>
        <stp>FQ4 2002</stp>
        <stp>[FA1_ivyerigx.xlsx]Bal Sheet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3"/>
      </tp>
      <tp>
        <v>-550</v>
        <stp/>
        <stp>##V3_BDHV12</stp>
        <stp>XOM US Equity</stp>
        <stp>XO_GL_NET_OF_TAX</stp>
        <stp>FQ1 2003</stp>
        <stp>FQ1 2003</stp>
        <stp>[FA1_ivyerigx.xlsx]Income - Adjusted!R21C21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2"/>
      </tp>
      <tp>
        <v>-550</v>
        <stp/>
        <stp>##V3_BDHV12</stp>
        <stp>XOM US Equity</stp>
        <stp>XO_GL_NET_OF_TAX</stp>
        <stp>FQ1 2003</stp>
        <stp>FQ1 2003</stp>
        <stp>[FA1_ivyerigx.xlsx]Income - Adjusted!R31C21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2"/>
      </tp>
      <tp>
        <v>22249</v>
        <stp/>
        <stp>##V3_BDHV12</stp>
        <stp>XOM US Equity</stp>
        <stp>OTHER_NONCURRENT_ASSETS_DETAILED</stp>
        <stp>FQ4 2003</stp>
        <stp>FQ4 2003</stp>
        <stp>[FA1_ivyerigx.xlsx]Bal Sheet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3"/>
      </tp>
      <tp>
        <v>-569</v>
        <stp/>
        <stp>##V3_BDHV12</stp>
        <stp>XOM US Equity</stp>
        <stp>CF_NET_CHNG_CASH</stp>
        <stp>FQ4 2005</stp>
        <stp>FQ4 2005</stp>
        <stp>[FA1_ivyerigx.xlsx]Cash Flow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4"/>
      </tp>
      <tp>
        <v>0</v>
        <stp/>
        <stp>##V3_BDHV12</stp>
        <stp>XOM US Equity</stp>
        <stp>XO_GL_NET_OF_TAX</stp>
        <stp>FQ3 2002</stp>
        <stp>FQ3 2002</stp>
        <stp>[FA1_ivyerigx.xlsx]Income - Adjusted!R31C19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2"/>
      </tp>
      <tp>
        <v>0</v>
        <stp/>
        <stp>##V3_BDHV12</stp>
        <stp>XOM US Equity</stp>
        <stp>XO_GL_NET_OF_TAX</stp>
        <stp>FQ3 2002</stp>
        <stp>FQ3 2002</stp>
        <stp>[FA1_ivyerigx.xlsx]Income - Adjusted!R21C19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2"/>
      </tp>
      <tp t="s">
        <v>—</v>
        <stp/>
        <stp>##V3_BDHV12</stp>
        <stp>XOM US Equity</stp>
        <stp>ACTUAL_SALES_PER_EMPL</stp>
        <stp>FQ3 1999</stp>
        <stp>FQ3 1999</stp>
        <stp>[FA1_ivyerigx.xlsx]Income - Adjusted!R52C7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2" s="2"/>
      </tp>
      <tp t="s">
        <v>—</v>
        <stp/>
        <stp>##V3_BDHV12</stp>
        <stp>XOM US Equity</stp>
        <stp>ACTUAL_SALES_PER_EMPL</stp>
        <stp>FQ2 1999</stp>
        <stp>FQ2 1999</stp>
        <stp>[FA1_ivyerigx.xlsx]Income - Adjusted!R52C6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2" s="2"/>
      </tp>
      <tp t="s">
        <v>—</v>
        <stp/>
        <stp>##V3_BDHV12</stp>
        <stp>XOM US Equity</stp>
        <stp>ACTUAL_SALES_PER_EMPL</stp>
        <stp>FQ1 1999</stp>
        <stp>FQ1 1999</stp>
        <stp>[FA1_ivyerigx.xlsx]Income - Adjusted!R52C5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2" s="2"/>
      </tp>
      <tp t="s">
        <v>—</v>
        <stp/>
        <stp>##V3_BDHV12</stp>
        <stp>XOM US Equity</stp>
        <stp>ACTUAL_SALES_PER_EMPL</stp>
        <stp>FQ4 1999</stp>
        <stp>FQ4 1999</stp>
        <stp>[FA1_ivyerigx.xlsx]Income - Adjusted!R52C8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2" s="2"/>
      </tp>
      <tp>
        <v>0</v>
        <stp/>
        <stp>##V3_BDHV12</stp>
        <stp>XOM US Equity</stp>
        <stp>OTHER_NONCURRENT_ASSETS_DETAILED</stp>
        <stp>FQ2 2008</stp>
        <stp>FQ2 2008</stp>
        <stp>[FA1_ivyerigx.xlsx]Bal Sheet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3"/>
      </tp>
      <tp>
        <v>23377</v>
        <stp/>
        <stp>##V3_BDHV12</stp>
        <stp>XOM US Equity</stp>
        <stp>OTHER_NONCURRENT_ASSETS_DETAILED</stp>
        <stp>FQ4 2004</stp>
        <stp>FQ4 2004</stp>
        <stp>[FA1_ivyerigx.xlsx]Bal Sheet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3"/>
      </tp>
      <tp>
        <v>-4490</v>
        <stp/>
        <stp>##V3_BDHV12</stp>
        <stp>XOM US Equity</stp>
        <stp>CF_NET_CHNG_CASH</stp>
        <stp>FQ4 2006</stp>
        <stp>FQ4 2006</stp>
        <stp>[FA1_ivyerigx.xlsx]Cash Flow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4"/>
      </tp>
      <tp>
        <v>53613</v>
        <stp/>
        <stp>##V3_BDHV12</stp>
        <stp>XOM US Equity</stp>
        <stp>ACCT_PAYABLE_&amp;_ACCRUALS_DETAILED</stp>
        <stp>FQ1 2008</stp>
        <stp>FQ1 2008</stp>
        <stp>[FA1_ivyerigx.xlsx]Bal Sheet - Standardized!R30C41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3"/>
      </tp>
      <tp>
        <v>15357</v>
        <stp/>
        <stp>##V3_BDHV12</stp>
        <stp>XOM US Equity</stp>
        <stp>ACCT_PAYABLE_&amp;_ACCRUALS_DETAILED</stp>
        <stp>FQ4 2000</stp>
        <stp>FQ4 2000</stp>
        <stp>[FA1_ivyerigx.xlsx]Bal Sheet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3"/>
      </tp>
      <tp>
        <v>22862</v>
        <stp/>
        <stp>##V3_BDHV12</stp>
        <stp>XOM US Equity</stp>
        <stp>ACCT_PAYABLE_&amp;_ACCRUALS_DETAILED</stp>
        <stp>FQ4 2001</stp>
        <stp>FQ4 2001</stp>
        <stp>[FA1_ivyerigx.xlsx]Bal Sheet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3"/>
      </tp>
      <tp>
        <v>2.2124000000000001</v>
        <stp/>
        <stp>##V3_BDHV12</stp>
        <stp>XOM US Equity</stp>
        <stp>CASH_FLOW_TO_NET_INC</stp>
        <stp>FQ1 2002</stp>
        <stp>FQ1 2002</stp>
        <stp>[FA1_ivyerigx.xlsx]Cash Flow - Standardized!R51C17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51" s="4"/>
      </tp>
      <tp>
        <v>2.8216000000000001</v>
        <stp/>
        <stp>##V3_BDHV12</stp>
        <stp>XOM US Equity</stp>
        <stp>CASH_FLOW_TO_NET_INC</stp>
        <stp>FQ3 2002</stp>
        <stp>FQ3 2002</stp>
        <stp>[FA1_ivyerigx.xlsx]Cash Flow - Standardized!R51C19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51" s="4"/>
      </tp>
      <tp>
        <v>1.5590999999999999</v>
        <stp/>
        <stp>##V3_BDHV12</stp>
        <stp>XOM US Equity</stp>
        <stp>CASH_FLOW_TO_NET_INC</stp>
        <stp>FQ2 2002</stp>
        <stp>FQ2 2002</stp>
        <stp>[FA1_ivyerigx.xlsx]Cash Flow - Standardized!R51C18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51" s="4"/>
      </tp>
      <tp>
        <v>1.2418</v>
        <stp/>
        <stp>##V3_BDHV12</stp>
        <stp>XOM US Equity</stp>
        <stp>CASH_FLOW_TO_NET_INC</stp>
        <stp>FQ4 2002</stp>
        <stp>FQ4 2002</stp>
        <stp>[FA1_ivyerigx.xlsx]Cash Flow - Standardized!R51C20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51" s="4"/>
      </tp>
      <tp>
        <v>0.80400000000000005</v>
        <stp/>
        <stp>##V3_BDHV12</stp>
        <stp>XOM US Equity</stp>
        <stp>CUR_RATIO</stp>
        <stp>FQ4 1999</stp>
        <stp>FQ4 1999</stp>
        <stp>[FA1_ivyerigx.xlsx]Bal Sheet - Standardized!R63C8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3" s="3"/>
      </tp>
      <tp>
        <v>-3.5042999999999997</v>
        <stp/>
        <stp>##V3_BDHV12</stp>
        <stp>XOM US Equity</stp>
        <stp>CHG_PCT_PERIOD</stp>
        <stp>FQ1 1999</stp>
        <stp>FQ1 1999</stp>
        <stp>[FA1_ivyerigx.xlsx]Stock Value!R7C5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6"/>
      </tp>
      <tp>
        <v>3.5398000000000001</v>
        <stp/>
        <stp>##V3_BDHV12</stp>
        <stp>XOM US Equity</stp>
        <stp>CHG_PCT_PERIOD</stp>
        <stp>FQ4 1998</stp>
        <stp>FQ4 1998</stp>
        <stp>[FA1_ivyerigx.xlsx]Stock Value!R7C4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6"/>
      </tp>
      <tp>
        <v>-7.8711000000000002</v>
        <stp/>
        <stp>##V3_BDHV12</stp>
        <stp>XOM US Equity</stp>
        <stp>CASH_CONVERSION_CYCLE</stp>
        <stp>FQ2 2006</stp>
        <stp>FQ2 2006</stp>
        <stp>[FA1_ivyerigx.xlsx]Bal Sheet - Standardized!R64C34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64" s="3"/>
      </tp>
      <tp>
        <v>-9.9663000000000004</v>
        <stp/>
        <stp>##V3_BDHV12</stp>
        <stp>XOM US Equity</stp>
        <stp>CASH_CONVERSION_CYCLE</stp>
        <stp>FQ3 2006</stp>
        <stp>FQ3 2006</stp>
        <stp>[FA1_ivyerigx.xlsx]Bal Sheet - Standardized!R64C35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64" s="3"/>
      </tp>
      <tp>
        <v>-8.3581000000000003</v>
        <stp/>
        <stp>##V3_BDHV12</stp>
        <stp>XOM US Equity</stp>
        <stp>CASH_CONVERSION_CYCLE</stp>
        <stp>FQ1 2006</stp>
        <stp>FQ1 2006</stp>
        <stp>[FA1_ivyerigx.xlsx]Bal Sheet - Standardized!R64C33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64" s="3"/>
      </tp>
      <tp>
        <v>1.8944999999999999</v>
        <stp/>
        <stp>##V3_BDHV12</stp>
        <stp>XOM US Equity</stp>
        <stp>CASH_CONVERSION_CYCLE</stp>
        <stp>FQ4 2006</stp>
        <stp>FQ4 2006</stp>
        <stp>[FA1_ivyerigx.xlsx]Bal Sheet - Standardized!R64C36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64" s="3"/>
      </tp>
      <tp>
        <v>270</v>
        <stp/>
        <stp>##V3_BDHV12</stp>
        <stp>XOM US Equity</stp>
        <stp>BS_TOTAL_CAPITAL_LEASES</stp>
        <stp>FQ4 1999</stp>
        <stp>FQ4 1999</stp>
        <stp>[FA1_ivyerigx.xlsx]Bal Sheet - Standardized!R57C8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7" s="3"/>
      </tp>
      <tp>
        <v>6954</v>
        <stp/>
        <stp>##V3_BDHV12</stp>
        <stp>XOM US Equity</stp>
        <stp>BS_SH_OUT</stp>
        <stp>FQ4 1999</stp>
        <stp>FQ4 1999</stp>
        <stp>[FA1_ivyerigx.xlsx]Bal Sheet - Standardized!R53C8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3" s="3"/>
      </tp>
      <tp t="s">
        <v>—</v>
        <stp/>
        <stp>##V3_BDHV12</stp>
        <stp>XOM US Equity</stp>
        <stp>BS_TOTAL_CAPITAL_LEASES</stp>
        <stp>FQ4 1998</stp>
        <stp>FQ4 1998</stp>
        <stp>[FA1_ivyerigx.xlsx]Bal Sheet - Standardized!R57C4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7" s="3"/>
      </tp>
      <tp t="s">
        <v>—</v>
        <stp/>
        <stp>##V3_BDHV12</stp>
        <stp>XOM US Equity</stp>
        <stp>BS_TOTAL_CAPITAL_LEASES</stp>
        <stp>FQ3 1998</stp>
        <stp>FQ3 1998</stp>
        <stp>[FA1_ivyerigx.xlsx]Bal Sheet - Standardized!R57C3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7" s="3"/>
      </tp>
      <tp t="s">
        <v>—</v>
        <stp/>
        <stp>##V3_BDHV12</stp>
        <stp>XOM US Equity</stp>
        <stp>BS_TOTAL_CAPITAL_LEASES</stp>
        <stp>FQ1 1999</stp>
        <stp>FQ1 1999</stp>
        <stp>[FA1_ivyerigx.xlsx]Bal Sheet - Standardized!R57C5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7" s="3"/>
      </tp>
      <tp t="s">
        <v>—</v>
        <stp/>
        <stp>##V3_BDHV12</stp>
        <stp>XOM US Equity</stp>
        <stp>BS_TOTAL_CAPITAL_LEASES</stp>
        <stp>FQ3 1999</stp>
        <stp>FQ3 1999</stp>
        <stp>[FA1_ivyerigx.xlsx]Bal Sheet - Standardized!R57C7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7" s="3"/>
      </tp>
      <tp t="s">
        <v>—</v>
        <stp/>
        <stp>##V3_BDHV12</stp>
        <stp>XOM US Equity</stp>
        <stp>BS_TOTAL_CAPITAL_LEASES</stp>
        <stp>FQ2 1999</stp>
        <stp>FQ2 1999</stp>
        <stp>[FA1_ivyerigx.xlsx]Bal Sheet - Standardized!R57C6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7" s="3"/>
      </tp>
      <tp>
        <v>8783</v>
        <stp/>
        <stp>##V3_BDHV12</stp>
        <stp>XOM US Equity</stp>
        <stp>OTHER_CURRENT_ASSETS_DETAILED</stp>
        <stp>FQ3 2007</stp>
        <stp>FQ3 2007</stp>
        <stp>[FA1_ivyerigx.xlsx]Bal Sheet - Standardized!R17C39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3"/>
      </tp>
      <tp>
        <v>1872</v>
        <stp/>
        <stp>##V3_BDHV12</stp>
        <stp>XOM US Equity</stp>
        <stp>OTHER_CURRENT_ASSETS_DETAILED</stp>
        <stp>FQ1 2002</stp>
        <stp>FQ1 2002</stp>
        <stp>[FA1_ivyerigx.xlsx]Bal Sheet - Standardized!R17C17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3"/>
      </tp>
      <tp>
        <v>8321</v>
        <stp/>
        <stp>##V3_BDHV12</stp>
        <stp>XOM US Equity</stp>
        <stp>OTHER_CURRENT_ASSETS_DETAILED</stp>
        <stp>FQ3 2005</stp>
        <stp>FQ3 2005</stp>
        <stp>[FA1_ivyerigx.xlsx]Bal Sheet - Standardized!R17C31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3"/>
      </tp>
      <tp>
        <v>109</v>
        <stp/>
        <stp>##V3_BDHV12</stp>
        <stp>XOM US Equity</stp>
        <stp>PROC_FR_REPURCH_EQTY_DETAILED</stp>
        <stp>FQ1 2000</stp>
        <stp>FQ1 2000</stp>
        <stp>[FA1_ivyerigx.xlsx]Cash Flow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4"/>
      </tp>
      <tp>
        <v>7026</v>
        <stp/>
        <stp>##V3_BDHV12</stp>
        <stp>XOM US Equity</stp>
        <stp>OTHER_CURRENT_ASSETS_DETAILED</stp>
        <stp>FQ2 2004</stp>
        <stp>FQ2 2004</stp>
        <stp>[FA1_ivyerigx.xlsx]Bal Sheet - Standardized!R17C26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3"/>
      </tp>
      <tp>
        <v>8101</v>
        <stp/>
        <stp>##V3_BDHV12</stp>
        <stp>XOM US Equity</stp>
        <stp>OTHER_CURRENT_ASSETS_DETAILED</stp>
        <stp>FQ3 2006</stp>
        <stp>FQ3 2006</stp>
        <stp>[FA1_ivyerigx.xlsx]Bal Sheet - Standardized!R17C35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3"/>
      </tp>
      <tp>
        <v>3924</v>
        <stp/>
        <stp>##V3_BDHV12</stp>
        <stp>XOM US Equity</stp>
        <stp>OTHER_CURRENT_ASSETS_DETAILED</stp>
        <stp>FQ4 2007</stp>
        <stp>FQ4 2007</stp>
        <stp>[FA1_ivyerigx.xlsx]Bal Sheet - Standardized!R17C40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3"/>
      </tp>
      <tp>
        <v>2122</v>
        <stp/>
        <stp>##V3_BDHV12</stp>
        <stp>XOM US Equity</stp>
        <stp>OTHER_CURRENT_ASSETS_DETAILED</stp>
        <stp>FQ1 2001</stp>
        <stp>FQ1 2001</stp>
        <stp>[FA1_ivyerigx.xlsx]Bal Sheet - Standardized!R17C13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3"/>
      </tp>
      <tp>
        <v>2039</v>
        <stp/>
        <stp>##V3_BDHV12</stp>
        <stp>XOM US Equity</stp>
        <stp>OTHER_CURRENT_ASSETS_DETAILED</stp>
        <stp>FQ2 2003</stp>
        <stp>FQ2 2003</stp>
        <stp>[FA1_ivyerigx.xlsx]Bal Sheet - Standardized!R17C22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3"/>
      </tp>
      <tp>
        <v>67188</v>
        <stp/>
        <stp>##V3_BDHV12</stp>
        <stp>XOM US Equity</stp>
        <stp>BS_TOT_LIAB2</stp>
        <stp>FQ4 2001</stp>
        <stp>FQ4 2001</stp>
        <stp>[FA1_ivyerigx.xlsx]Bal Sheet - Standardized!R40C16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0" s="3"/>
      </tp>
      <tp>
        <v>75013</v>
        <stp/>
        <stp>##V3_BDHV12</stp>
        <stp>XOM US Equity</stp>
        <stp>BS_TOT_LIAB2</stp>
        <stp>FQ4 2000</stp>
        <stp>FQ4 2000</stp>
        <stp>[FA1_ivyerigx.xlsx]Bal Sheet - Standardized!R40C12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0" s="3"/>
      </tp>
      <tp>
        <v>135063</v>
        <stp/>
        <stp>##V3_BDHV12</stp>
        <stp>XOM US Equity</stp>
        <stp>BS_TOT_LIAB2</stp>
        <stp>FQ1 2008</stp>
        <stp>FQ1 2008</stp>
        <stp>[FA1_ivyerigx.xlsx]Bal Sheet - Standardized!R40C41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0" s="3"/>
      </tp>
      <tp>
        <v>5382</v>
        <stp/>
        <stp>##V3_BDHV12</stp>
        <stp>XOM US Equity</stp>
        <stp>BS_SH_OUT</stp>
        <stp>FQ4 2007</stp>
        <stp>FQ4 2007</stp>
        <stp>[FA1_ivyerigx.xlsx]Per Share!R6C40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5"/>
      </tp>
      <tp>
        <v>6133</v>
        <stp/>
        <stp>##V3_BDHV12</stp>
        <stp>XOM US Equity</stp>
        <stp>BS_SH_OUT</stp>
        <stp>FQ4 2005</stp>
        <stp>FQ4 2005</stp>
        <stp>[FA1_ivyerigx.xlsx]Per Share!R6C32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5"/>
      </tp>
      <tp>
        <v>379397.77899999998</v>
        <stp/>
        <stp>##V3_BDHV12</stp>
        <stp>XOM US Equity</stp>
        <stp>HISTORICAL_MARKET_CAP</stp>
        <stp>FQ1 2005</stp>
        <stp>FQ1 2005</stp>
        <stp>[FA1_ivyerigx.xlsx]Stock Value!R12C29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6"/>
      </tp>
      <tp>
        <v>6568</v>
        <stp/>
        <stp>##V3_BDHV12</stp>
        <stp>XOM US Equity</stp>
        <stp>BS_SH_OUT</stp>
        <stp>FQ4 2003</stp>
        <stp>FQ4 2003</stp>
        <stp>[FA1_ivyerigx.xlsx]Per Share!R6C24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5"/>
      </tp>
      <tp>
        <v>6679.3909999999996</v>
        <stp/>
        <stp>##V3_BDHV12</stp>
        <stp>XOM US Equity</stp>
        <stp>BS_SH_OUT</stp>
        <stp>FQ1 2003</stp>
        <stp>FQ1 2003</stp>
        <stp>[FA1_ivyerigx.xlsx]Per Share!R6C21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5"/>
      </tp>
      <tp>
        <v>6652</v>
        <stp/>
        <stp>##V3_BDHV12</stp>
        <stp>XOM US Equity</stp>
        <stp>BS_SH_OUT</stp>
        <stp>FQ2 2003</stp>
        <stp>FQ2 2003</stp>
        <stp>[FA1_ivyerigx.xlsx]Per Share!R6C22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5"/>
      </tp>
      <tp>
        <v>6609</v>
        <stp/>
        <stp>##V3_BDHV12</stp>
        <stp>XOM US Equity</stp>
        <stp>BS_SH_OUT</stp>
        <stp>FQ3 2003</stp>
        <stp>FQ3 2003</stp>
        <stp>[FA1_ivyerigx.xlsx]Per Share!R6C23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5"/>
      </tp>
      <tp>
        <v>6809</v>
        <stp/>
        <stp>##V3_BDHV12</stp>
        <stp>XOM US Equity</stp>
        <stp>BS_SH_OUT</stp>
        <stp>FQ4 2001</stp>
        <stp>FQ4 2001</stp>
        <stp>[FA1_ivyerigx.xlsx]Per Share!R6C16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5"/>
      </tp>
      <tp>
        <v>6900</v>
        <stp/>
        <stp>##V3_BDHV12</stp>
        <stp>XOM US Equity</stp>
        <stp>BS_SH_OUT</stp>
        <stp>FQ1 2001</stp>
        <stp>FQ1 2001</stp>
        <stp>[FA1_ivyerigx.xlsx]Per Share!R6C13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5"/>
      </tp>
      <tp>
        <v>328115.26</v>
        <stp/>
        <stp>##V3_BDHV12</stp>
        <stp>XOM US Equity</stp>
        <stp>HISTORICAL_MARKET_CAP</stp>
        <stp>FQ4 2004</stp>
        <stp>FQ4 2004</stp>
        <stp>[FA1_ivyerigx.xlsx]Stock Value!R12C28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6"/>
      </tp>
      <tp>
        <v>269288</v>
        <stp/>
        <stp>##V3_BDHV12</stp>
        <stp>XOM US Equity</stp>
        <stp>HISTORICAL_MARKET_CAP</stp>
        <stp>FQ4 2003</stp>
        <stp>FQ4 2003</stp>
        <stp>[FA1_ivyerigx.xlsx]Stock Value!R12C24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6"/>
      </tp>
      <tp>
        <v>238873.32</v>
        <stp/>
        <stp>##V3_BDHV12</stp>
        <stp>XOM US Equity</stp>
        <stp>HISTORICAL_MARKET_CAP</stp>
        <stp>FQ2 2003</stp>
        <stp>FQ2 2003</stp>
        <stp>[FA1_ivyerigx.xlsx]Stock Value!R12C22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6"/>
      </tp>
      <tp>
        <v>241889.4</v>
        <stp/>
        <stp>##V3_BDHV12</stp>
        <stp>XOM US Equity</stp>
        <stp>HISTORICAL_MARKET_CAP</stp>
        <stp>FQ3 2003</stp>
        <stp>FQ3 2003</stp>
        <stp>[FA1_ivyerigx.xlsx]Stock Value!R12C23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6"/>
      </tp>
      <tp>
        <v>233444.71549999999</v>
        <stp/>
        <stp>##V3_BDHV12</stp>
        <stp>XOM US Equity</stp>
        <stp>HISTORICAL_MARKET_CAP</stp>
        <stp>FQ1 2003</stp>
        <stp>FQ1 2003</stp>
        <stp>[FA1_ivyerigx.xlsx]Stock Value!R12C21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6"/>
      </tp>
      <tp>
        <v>272000.47159999999</v>
        <stp/>
        <stp>##V3_BDHV12</stp>
        <stp>XOM US Equity</stp>
        <stp>HISTORICAL_MARKET_CAP</stp>
        <stp>FQ1 2004</stp>
        <stp>FQ1 2004</stp>
        <stp>[FA1_ivyerigx.xlsx]Stock Value!R12C25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6"/>
      </tp>
      <tp>
        <v>311791.08730000001</v>
        <stp/>
        <stp>##V3_BDHV12</stp>
        <stp>XOM US Equity</stp>
        <stp>HISTORICAL_MARKET_CAP</stp>
        <stp>FQ3 2004</stp>
        <stp>FQ3 2004</stp>
        <stp>[FA1_ivyerigx.xlsx]Stock Value!R12C27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6"/>
      </tp>
      <tp>
        <v>288909.5711</v>
        <stp/>
        <stp>##V3_BDHV12</stp>
        <stp>XOM US Equity</stp>
        <stp>HISTORICAL_MARKET_CAP</stp>
        <stp>FQ2 2004</stp>
        <stp>FQ2 2004</stp>
        <stp>[FA1_ivyerigx.xlsx]Stock Value!R12C26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6"/>
      </tp>
      <tp>
        <v>234098</v>
        <stp/>
        <stp>##V3_BDHV12</stp>
        <stp>XOM US Equity</stp>
        <stp>HISTORICAL_MARKET_CAP</stp>
        <stp>FQ4 2002</stp>
        <stp>FQ4 2002</stp>
        <stp>[FA1_ivyerigx.xlsx]Stock Value!R12C20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6"/>
      </tp>
      <tp>
        <v>0</v>
        <stp/>
        <stp>##V3_BDHV12</stp>
        <stp>XOM US Equity</stp>
        <stp>XO_GL_NET_OF_TAX</stp>
        <stp>FQ1 2004</stp>
        <stp>FQ1 2004</stp>
        <stp>[FA1_ivyerigx.xlsx]Income - Adjusted!R31C25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2"/>
      </tp>
      <tp>
        <v>25971</v>
        <stp/>
        <stp>##V3_BDHV12</stp>
        <stp>XOM US Equity</stp>
        <stp>OTHER_NONCURRENT_ASSETS_DETAILED</stp>
        <stp>FQ2 2005</stp>
        <stp>FQ2 2005</stp>
        <stp>[FA1_ivyerigx.xlsx]Bal Sheet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3"/>
      </tp>
      <tp>
        <v>0</v>
        <stp/>
        <stp>##V3_BDHV12</stp>
        <stp>XOM US Equity</stp>
        <stp>XO_GL_NET_OF_TAX</stp>
        <stp>FQ1 2004</stp>
        <stp>FQ1 2004</stp>
        <stp>[FA1_ivyerigx.xlsx]Income - Adjusted!R21C25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2"/>
      </tp>
      <tp t="s">
        <v>—</v>
        <stp/>
        <stp>##V3_BDHV12</stp>
        <stp>XOM US Equity</stp>
        <stp>XO_GL_NET_OF_TAX</stp>
        <stp>FQ2 2006</stp>
        <stp>FQ2 2006</stp>
        <stp>[FA1_ivyerigx.xlsx]Income - Adjusted!R21C34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2"/>
      </tp>
      <tp t="s">
        <v>—</v>
        <stp/>
        <stp>##V3_BDHV12</stp>
        <stp>XOM US Equity</stp>
        <stp>XO_GL_NET_OF_TAX</stp>
        <stp>FQ2 2006</stp>
        <stp>FQ2 2006</stp>
        <stp>[FA1_ivyerigx.xlsx]Income - Adjusted!R31C34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2"/>
      </tp>
      <tp>
        <v>0</v>
        <stp/>
        <stp>##V3_BDHV12</stp>
        <stp>XOM US Equity</stp>
        <stp>OTHER_NONCURRENT_ASSETS_DETAILED</stp>
        <stp>FQ3 2003</stp>
        <stp>FQ3 2003</stp>
        <stp>[FA1_ivyerigx.xlsx]Bal Sheet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3"/>
      </tp>
      <tp>
        <v>0</v>
        <stp/>
        <stp>##V3_BDHV12</stp>
        <stp>XOM US Equity</stp>
        <stp>OTHER_NONCURRENT_ASSETS_DETAILED</stp>
        <stp>FQ2 2006</stp>
        <stp>FQ2 2006</stp>
        <stp>[FA1_ivyerigx.xlsx]Bal Sheet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3"/>
      </tp>
      <tp>
        <v>0</v>
        <stp/>
        <stp>##V3_BDHV12</stp>
        <stp>XOM US Equity</stp>
        <stp>OTHER_NONCURRENT_ASSETS_DETAILED</stp>
        <stp>FQ3 2004</stp>
        <stp>FQ3 2004</stp>
        <stp>[FA1_ivyerigx.xlsx]Bal Sheet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3"/>
      </tp>
      <tp>
        <v>0</v>
        <stp/>
        <stp>##V3_BDHV12</stp>
        <stp>XOM US Equity</stp>
        <stp>XO_GL_NET_OF_TAX</stp>
        <stp>FQ4 2007</stp>
        <stp>FQ4 2007</stp>
        <stp>[FA1_ivyerigx.xlsx]Income - Adjusted!R31C40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2"/>
      </tp>
      <tp>
        <v>0</v>
        <stp/>
        <stp>##V3_BDHV12</stp>
        <stp>XOM US Equity</stp>
        <stp>XO_GL_NET_OF_TAX</stp>
        <stp>FQ4 2007</stp>
        <stp>FQ4 2007</stp>
        <stp>[FA1_ivyerigx.xlsx]Income - Adjusted!R21C40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2"/>
      </tp>
      <tp>
        <v>2464</v>
        <stp/>
        <stp>##V3_BDHV12</stp>
        <stp>XOM US Equity</stp>
        <stp>CF_NET_CHNG_CASH</stp>
        <stp>FQ3 2007</stp>
        <stp>FQ3 2007</stp>
        <stp>[FA1_ivyerigx.xlsx]Cash Flow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4"/>
      </tp>
      <tp>
        <v>2101</v>
        <stp/>
        <stp>##V3_BDHV12</stp>
        <stp>XOM US Equity</stp>
        <stp>BS_CASH_NEAR_CASH_ITEM</stp>
        <stp>FQ3 1998</stp>
        <stp>FQ3 1998</stp>
        <stp>[FA1_ivyerigx.xlsx]Bal Sheet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2558</v>
        <stp/>
        <stp>##V3_BDHV12</stp>
        <stp>XOM US Equity</stp>
        <stp>CF_NET_CHNG_CASH</stp>
        <stp>FQ4 2007</stp>
        <stp>FQ4 2007</stp>
        <stp>[FA1_ivyerigx.xlsx]Cash Flow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4"/>
      </tp>
      <tp>
        <v>193</v>
        <stp/>
        <stp>##V3_BDHV12</stp>
        <stp>XOM US Equity</stp>
        <stp>CF_NET_CHNG_CASH</stp>
        <stp>FQ2 2003</stp>
        <stp>FQ2 2003</stp>
        <stp>[FA1_ivyerigx.xlsx]Cash Flow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4"/>
      </tp>
      <tp>
        <v>3826</v>
        <stp/>
        <stp>##V3_BDHV12</stp>
        <stp>XOM US Equity</stp>
        <stp>CF_NET_CHNG_CASH</stp>
        <stp>FQ1 2001</stp>
        <stp>FQ1 2001</stp>
        <stp>[FA1_ivyerigx.xlsx]Cash Flow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4"/>
      </tp>
      <tp>
        <v>621</v>
        <stp/>
        <stp>##V3_BDHV12</stp>
        <stp>XOM US Equity</stp>
        <stp>CF_NET_CHNG_CASH</stp>
        <stp>FQ3 2006</stp>
        <stp>FQ3 2006</stp>
        <stp>[FA1_ivyerigx.xlsx]Cash Flow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4"/>
      </tp>
      <tp>
        <v>-1717</v>
        <stp/>
        <stp>##V3_BDHV12</stp>
        <stp>XOM US Equity</stp>
        <stp>CF_NET_CHNG_CASH</stp>
        <stp>FQ2 2004</stp>
        <stp>FQ2 2004</stp>
        <stp>[FA1_ivyerigx.xlsx]Cash Flow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4"/>
      </tp>
      <tp>
        <v>31537</v>
        <stp/>
        <stp>##V3_BDHV12</stp>
        <stp>XOM US Equity</stp>
        <stp>OTHER_NONCURRENT_ASSETS_DETAILED</stp>
        <stp>FQ2 2007</stp>
        <stp>FQ2 2007</stp>
        <stp>[FA1_ivyerigx.xlsx]Bal Sheet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3"/>
      </tp>
      <tp>
        <v>3592</v>
        <stp/>
        <stp>##V3_BDHV12</stp>
        <stp>XOM US Equity</stp>
        <stp>CF_NET_CHNG_CASH</stp>
        <stp>FQ3 2005</stp>
        <stp>FQ3 2005</stp>
        <stp>[FA1_ivyerigx.xlsx]Cash Flow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4"/>
      </tp>
      <tp>
        <v>1441</v>
        <stp/>
        <stp>##V3_BDHV12</stp>
        <stp>XOM US Equity</stp>
        <stp>BS_CASH_NEAR_CASH_ITEM</stp>
        <stp>FQ4 1998</stp>
        <stp>FQ4 1998</stp>
        <stp>[FA1_ivyerigx.xlsx]Bal Sheet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3"/>
      </tp>
      <tp>
        <v>0</v>
        <stp/>
        <stp>##V3_BDHV12</stp>
        <stp>XOM US Equity</stp>
        <stp>XO_GL_NET_OF_TAX</stp>
        <stp>FQ3 2007</stp>
        <stp>FQ3 2007</stp>
        <stp>[FA1_ivyerigx.xlsx]Income - Adjusted!R21C39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2"/>
      </tp>
      <tp>
        <v>75</v>
        <stp/>
        <stp>##V3_BDHV12</stp>
        <stp>XOM US Equity</stp>
        <stp>CF_NET_CHNG_CASH</stp>
        <stp>FQ1 2002</stp>
        <stp>FQ1 2002</stp>
        <stp>[FA1_ivyerigx.xlsx]Cash Flow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4"/>
      </tp>
      <tp>
        <v>0</v>
        <stp/>
        <stp>##V3_BDHV12</stp>
        <stp>XOM US Equity</stp>
        <stp>XO_GL_NET_OF_TAX</stp>
        <stp>FQ3 2007</stp>
        <stp>FQ3 2007</stp>
        <stp>[FA1_ivyerigx.xlsx]Income - Adjusted!R31C39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2"/>
      </tp>
      <tp>
        <v>24394</v>
        <stp/>
        <stp>##V3_BDHV12</stp>
        <stp>XOM US Equity</stp>
        <stp>ACCT_PAYABLE_&amp;_ACCRUALS_DETAILED</stp>
        <stp>FQ3 2002</stp>
        <stp>FQ3 2002</stp>
        <stp>[FA1_ivyerigx.xlsx]Bal Sheet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3"/>
      </tp>
      <tp>
        <v>24632</v>
        <stp/>
        <stp>##V3_BDHV12</stp>
        <stp>XOM US Equity</stp>
        <stp>ACCT_PAYABLE_&amp;_ACCRUALS_DETAILED</stp>
        <stp>FQ3 2001</stp>
        <stp>FQ3 2001</stp>
        <stp>[FA1_ivyerigx.xlsx]Bal Sheet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3"/>
      </tp>
      <tp>
        <v>39019</v>
        <stp/>
        <stp>##V3_BDHV12</stp>
        <stp>XOM US Equity</stp>
        <stp>ACCT_PAYABLE_&amp;_ACCRUALS_DETAILED</stp>
        <stp>FQ1 2006</stp>
        <stp>FQ1 2006</stp>
        <stp>[FA1_ivyerigx.xlsx]Bal Sheet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3"/>
      </tp>
      <tp>
        <v>27646</v>
        <stp/>
        <stp>##V3_BDHV12</stp>
        <stp>XOM US Equity</stp>
        <stp>ACCT_PAYABLE_&amp;_ACCRUALS_DETAILED</stp>
        <stp>FQ3 2000</stp>
        <stp>FQ3 2000</stp>
        <stp>[FA1_ivyerigx.xlsx]Bal Sheet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3"/>
      </tp>
      <tp>
        <v>38923</v>
        <stp/>
        <stp>##V3_BDHV12</stp>
        <stp>XOM US Equity</stp>
        <stp>ACCT_PAYABLE_&amp;_ACCRUALS_DETAILED</stp>
        <stp>FQ1 2007</stp>
        <stp>FQ1 2007</stp>
        <stp>[FA1_ivyerigx.xlsx]Bal Sheet - Standardized!R30C37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3"/>
      </tp>
      <tp>
        <v>5936.8729999999996</v>
        <stp/>
        <stp>##V3_BDHV12</stp>
        <stp>XOM US Equity</stp>
        <stp>EQY_FLOAT</stp>
        <stp>FQ3 2006</stp>
        <stp>FQ3 2006</stp>
        <stp>[FA1_ivyerigx.xlsx]Stock Value!R14C35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4" s="6"/>
      </tp>
      <tp t="s">
        <v>—</v>
        <stp/>
        <stp>##V3_BDHV12</stp>
        <stp>XOM US Equity</stp>
        <stp>EQY_FLOAT</stp>
        <stp>FQ4 2000</stp>
        <stp>FQ4 2000</stp>
        <stp>[FA1_ivyerigx.xlsx]Stock Value!R14C12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4" s="6"/>
      </tp>
      <tp>
        <v>6042.2120000000004</v>
        <stp/>
        <stp>##V3_BDHV12</stp>
        <stp>XOM US Equity</stp>
        <stp>EQY_FLOAT</stp>
        <stp>FQ2 2006</stp>
        <stp>FQ2 2006</stp>
        <stp>[FA1_ivyerigx.xlsx]Stock Value!R14C34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4" s="6"/>
      </tp>
      <tp>
        <v>1.5893999999999999</v>
        <stp/>
        <stp>##V3_BDHV12</stp>
        <stp>XOM US Equity</stp>
        <stp>CASH_FLOW_TO_NET_INC</stp>
        <stp>FQ3 2005</stp>
        <stp>FQ3 2005</stp>
        <stp>[FA1_ivyerigx.xlsx]Cash Flow - Standardized!R51C31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51" s="4"/>
      </tp>
      <tp>
        <v>1.1797</v>
        <stp/>
        <stp>##V3_BDHV12</stp>
        <stp>XOM US Equity</stp>
        <stp>CASH_FLOW_TO_NET_INC</stp>
        <stp>FQ2 2005</stp>
        <stp>FQ2 2005</stp>
        <stp>[FA1_ivyerigx.xlsx]Cash Flow - Standardized!R51C30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51" s="4"/>
      </tp>
      <tp>
        <v>1.6499000000000001</v>
        <stp/>
        <stp>##V3_BDHV12</stp>
        <stp>XOM US Equity</stp>
        <stp>CASH_FLOW_TO_NET_INC</stp>
        <stp>FQ1 2005</stp>
        <stp>FQ1 2005</stp>
        <stp>[FA1_ivyerigx.xlsx]Cash Flow - Standardized!R51C29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51" s="4"/>
      </tp>
      <tp>
        <v>0.97009999999999996</v>
        <stp/>
        <stp>##V3_BDHV12</stp>
        <stp>XOM US Equity</stp>
        <stp>CASH_FLOW_TO_NET_INC</stp>
        <stp>FQ4 2005</stp>
        <stp>FQ4 2005</stp>
        <stp>[FA1_ivyerigx.xlsx]Cash Flow - Standardized!R51C32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51" s="4"/>
      </tp>
      <tp>
        <v>5683.1229999999996</v>
        <stp/>
        <stp>##V3_BDHV12</stp>
        <stp>XOM US Equity</stp>
        <stp>EQY_FLOAT</stp>
        <stp>FQ1 2007</stp>
        <stp>FQ1 2007</stp>
        <stp>[FA1_ivyerigx.xlsx]Stock Value!R14C37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4" s="6"/>
      </tp>
      <tp>
        <v>6215.0290000000005</v>
        <stp/>
        <stp>##V3_BDHV12</stp>
        <stp>XOM US Equity</stp>
        <stp>EQY_FLOAT</stp>
        <stp>FQ4 2005</stp>
        <stp>FQ4 2005</stp>
        <stp>[FA1_ivyerigx.xlsx]Stock Value!R14C32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4" s="6"/>
      </tp>
      <tp>
        <v>-1.0508</v>
        <stp/>
        <stp>##V3_BDHV12</stp>
        <stp>XOM US Equity</stp>
        <stp>CHG_PCT_PERIOD</stp>
        <stp>FQ3 1998</stp>
        <stp>FQ3 1998</stp>
        <stp>[FA1_ivyerigx.xlsx]Stock Value!R7C3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6"/>
      </tp>
      <tp t="s">
        <v>—</v>
        <stp/>
        <stp>##V3_BDHV12</stp>
        <stp>XOM US Equity</stp>
        <stp>EQY_FLOAT</stp>
        <stp>FQ1 2002</stp>
        <stp>FQ1 2002</stp>
        <stp>[FA1_ivyerigx.xlsx]Stock Value!R14C17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4" s="6"/>
      </tp>
      <tp t="s">
        <v>—</v>
        <stp/>
        <stp>##V3_BDHV12</stp>
        <stp>XOM US Equity</stp>
        <stp>EQY_FLOAT</stp>
        <stp>FQ2 2001</stp>
        <stp>FQ2 2001</stp>
        <stp>[FA1_ivyerigx.xlsx]Stock Value!R14C14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4" s="6"/>
      </tp>
      <tp>
        <v>487</v>
        <stp/>
        <stp>##V3_BDHV12</stp>
        <stp>XOM US Equity</stp>
        <stp>EBIT</stp>
        <stp>FQ1 1999</stp>
        <stp>FQ1 1999</stp>
        <stp>[FA1_ivyerigx.xlsx]Income - Adjusted!R48C5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8" s="2"/>
      </tp>
      <tp>
        <v>2020</v>
        <stp/>
        <stp>##V3_BDHV12</stp>
        <stp>XOM US Equity</stp>
        <stp>EBIT</stp>
        <stp>FQ3 1999</stp>
        <stp>FQ3 1999</stp>
        <stp>[FA1_ivyerigx.xlsx]Income - Adjusted!R48C7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8" s="2"/>
      </tp>
      <tp>
        <v>1194</v>
        <stp/>
        <stp>##V3_BDHV12</stp>
        <stp>XOM US Equity</stp>
        <stp>EBIT</stp>
        <stp>FQ2 1999</stp>
        <stp>FQ2 1999</stp>
        <stp>[FA1_ivyerigx.xlsx]Income - Adjusted!R48C6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8" s="2"/>
      </tp>
      <tp t="s">
        <v>—</v>
        <stp/>
        <stp>##V3_BDHV12</stp>
        <stp>XOM US Equity</stp>
        <stp>EQY_FLOAT</stp>
        <stp>FQ3 2001</stp>
        <stp>FQ3 2001</stp>
        <stp>[FA1_ivyerigx.xlsx]Stock Value!R14C15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4" s="6"/>
      </tp>
      <tp>
        <v>0.74070000000000003</v>
        <stp/>
        <stp>##V3_BDHV12</stp>
        <stp>XOM US Equity</stp>
        <stp>CASH_FLOW_PER_SH</stp>
        <stp>FQ3 1998</stp>
        <stp>FQ3 1998</stp>
        <stp>[FA1_ivyerigx.xlsx]Per Share!R22C3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2" s="5"/>
      </tp>
      <tp>
        <v>1.4581999999999999</v>
        <stp/>
        <stp>##V3_BDHV12</stp>
        <stp>XOM US Equity</stp>
        <stp>CASH_FLOW_PER_SH</stp>
        <stp>FQ4 1998</stp>
        <stp>FQ4 1998</stp>
        <stp>[FA1_ivyerigx.xlsx]Per Share!R22C4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2" s="5"/>
      </tp>
      <tp>
        <v>-5.9739000000000004</v>
        <stp/>
        <stp>##V3_BDHV12</stp>
        <stp>XOM US Equity</stp>
        <stp>CASH_CONVERSION_CYCLE</stp>
        <stp>FQ1 2001</stp>
        <stp>FQ1 2001</stp>
        <stp>[FA1_ivyerigx.xlsx]Bal Sheet - Standardized!R64C13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64" s="3"/>
      </tp>
      <tp>
        <v>-8.9735999999999994</v>
        <stp/>
        <stp>##V3_BDHV12</stp>
        <stp>XOM US Equity</stp>
        <stp>CASH_CONVERSION_CYCLE</stp>
        <stp>FQ2 2001</stp>
        <stp>FQ2 2001</stp>
        <stp>[FA1_ivyerigx.xlsx]Bal Sheet - Standardized!R64C14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64" s="3"/>
      </tp>
      <tp>
        <v>-8.2413000000000007</v>
        <stp/>
        <stp>##V3_BDHV12</stp>
        <stp>XOM US Equity</stp>
        <stp>CASH_CONVERSION_CYCLE</stp>
        <stp>FQ3 2001</stp>
        <stp>FQ3 2001</stp>
        <stp>[FA1_ivyerigx.xlsx]Bal Sheet - Standardized!R64C15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64" s="3"/>
      </tp>
      <tp>
        <v>6.3330000000000002</v>
        <stp/>
        <stp>##V3_BDHV12</stp>
        <stp>XOM US Equity</stp>
        <stp>CASH_CONVERSION_CYCLE</stp>
        <stp>FQ4 2001</stp>
        <stp>FQ4 2001</stp>
        <stp>[FA1_ivyerigx.xlsx]Bal Sheet - Standardized!R64C16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64" s="3"/>
      </tp>
      <tp>
        <v>2.4302999999999999</v>
        <stp/>
        <stp>##V3_BDHV12</stp>
        <stp>XOM US Equity</stp>
        <stp>CASH_ST_INVESTMENTS_PER_SH</stp>
        <stp>FQ1 2004</stp>
        <stp>FQ1 2004</stp>
        <stp>[FA1_ivyerigx.xlsx]Per Share!R25C25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5" s="5"/>
      </tp>
      <tp>
        <v>1.8822999999999999</v>
        <stp/>
        <stp>##V3_BDHV12</stp>
        <stp>XOM US Equity</stp>
        <stp>CASH_ST_INVESTMENTS_PER_SH</stp>
        <stp>FQ2 2003</stp>
        <stp>FQ2 2003</stp>
        <stp>[FA1_ivyerigx.xlsx]Per Share!R25C22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5" s="5"/>
      </tp>
      <tp>
        <v>0.95599999999999996</v>
        <stp/>
        <stp>##V3_BDHV12</stp>
        <stp>XOM US Equity</stp>
        <stp>CASH_ST_INVESTMENTS_PER_SH</stp>
        <stp>FQ3 2000</stp>
        <stp>FQ3 2000</stp>
        <stp>[FA1_ivyerigx.xlsx]Per Share!R25C11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5" s="5"/>
      </tp>
      <tp>
        <v>7877</v>
        <stp/>
        <stp>##V3_BDHV12</stp>
        <stp>XOM US Equity</stp>
        <stp>OTHER_CURRENT_ASSETS_DETAILED</stp>
        <stp>FQ4 2006</stp>
        <stp>FQ4 2006</stp>
        <stp>[FA1_ivyerigx.xlsx]Bal Sheet - Standardized!R17C36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3"/>
      </tp>
      <tp>
        <v>7866</v>
        <stp/>
        <stp>##V3_BDHV12</stp>
        <stp>XOM US Equity</stp>
        <stp>OTHER_CURRENT_ASSETS_DETAILED</stp>
        <stp>FQ4 2005</stp>
        <stp>FQ4 2005</stp>
        <stp>[FA1_ivyerigx.xlsx]Bal Sheet - Standardized!R17C32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3"/>
      </tp>
      <tp>
        <v>80141</v>
        <stp/>
        <stp>##V3_BDHV12</stp>
        <stp>XOM US Equity</stp>
        <stp>BS_TOT_LIAB2</stp>
        <stp>FQ3 2000</stp>
        <stp>FQ3 2000</stp>
        <stp>[FA1_ivyerigx.xlsx]Bal Sheet - Standardized!R40C11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0" s="3"/>
      </tp>
      <tp>
        <v>109189</v>
        <stp/>
        <stp>##V3_BDHV12</stp>
        <stp>XOM US Equity</stp>
        <stp>BS_TOT_LIAB2</stp>
        <stp>FQ1 2007</stp>
        <stp>FQ1 2007</stp>
        <stp>[FA1_ivyerigx.xlsx]Bal Sheet - Standardized!R40C37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0" s="3"/>
      </tp>
      <tp>
        <v>74079</v>
        <stp/>
        <stp>##V3_BDHV12</stp>
        <stp>XOM US Equity</stp>
        <stp>BS_TOT_LIAB2</stp>
        <stp>FQ3 2001</stp>
        <stp>FQ3 2001</stp>
        <stp>[FA1_ivyerigx.xlsx]Bal Sheet - Standardized!R40C15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0" s="3"/>
      </tp>
      <tp>
        <v>103539</v>
        <stp/>
        <stp>##V3_BDHV12</stp>
        <stp>XOM US Equity</stp>
        <stp>BS_TOT_LIAB2</stp>
        <stp>FQ1 2006</stp>
        <stp>FQ1 2006</stp>
        <stp>[FA1_ivyerigx.xlsx]Bal Sheet - Standardized!R40C33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0" s="3"/>
      </tp>
      <tp>
        <v>74783</v>
        <stp/>
        <stp>##V3_BDHV12</stp>
        <stp>XOM US Equity</stp>
        <stp>BS_TOT_LIAB2</stp>
        <stp>FQ3 2002</stp>
        <stp>FQ3 2002</stp>
        <stp>[FA1_ivyerigx.xlsx]Bal Sheet - Standardized!R40C19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0" s="3"/>
      </tp>
      <tp>
        <v>33877</v>
        <stp/>
        <stp>##V3_BDHV12</stp>
        <stp>XOM US Equity</stp>
        <stp>IS_COGS_TO_FE_AND_PP_AND_G</stp>
        <stp>FQ3 2000</stp>
        <stp>FQ3 2000</stp>
        <stp>[FA1_ivyerigx.xlsx]Income - Adjusted!R7C11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7" s="2"/>
      </tp>
      <tp>
        <v>32735</v>
        <stp/>
        <stp>##V3_BDHV12</stp>
        <stp>XOM US Equity</stp>
        <stp>IS_COGS_TO_FE_AND_PP_AND_G</stp>
        <stp>FQ2 2000</stp>
        <stp>FQ2 2000</stp>
        <stp>[FA1_ivyerigx.xlsx]Income - Adjusted!R7C10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7" s="2"/>
      </tp>
      <tp>
        <v>6451.2950000000001</v>
        <stp/>
        <stp>##V3_BDHV12</stp>
        <stp>XOM US Equity</stp>
        <stp>EQY_SH_OUT</stp>
        <stp>FQ4 2004</stp>
        <stp>FQ4 2004</stp>
        <stp>[FA1_ivyerigx.xlsx]Stock Value!R13C28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3" s="6"/>
      </tp>
      <tp>
        <v>5729</v>
        <stp/>
        <stp>##V3_BDHV12</stp>
        <stp>XOM US Equity</stp>
        <stp>BS_SH_OUT</stp>
        <stp>FQ4 2006</stp>
        <stp>FQ4 2006</stp>
        <stp>[FA1_ivyerigx.xlsx]Per Share!R6C36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5"/>
      </tp>
      <tp>
        <v>6050</v>
        <stp/>
        <stp>##V3_BDHV12</stp>
        <stp>XOM US Equity</stp>
        <stp>BS_SH_OUT</stp>
        <stp>FQ1 2006</stp>
        <stp>FQ1 2006</stp>
        <stp>[FA1_ivyerigx.xlsx]Per Share!R6C33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5"/>
      </tp>
      <tp>
        <v>6782</v>
        <stp/>
        <stp>##V3_BDHV12</stp>
        <stp>XOM US Equity</stp>
        <stp>BS_SH_OUT</stp>
        <stp>FQ1 2002</stp>
        <stp>FQ1 2002</stp>
        <stp>[FA1_ivyerigx.xlsx]Per Share!R6C17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5"/>
      </tp>
      <tp>
        <v>0</v>
        <stp/>
        <stp>##V3_BDHV12</stp>
        <stp>XOM US Equity</stp>
        <stp>OTHER_NONCURRENT_ASSETS_DETAILED</stp>
        <stp>FQ3 2005</stp>
        <stp>FQ3 2005</stp>
        <stp>[FA1_ivyerigx.xlsx]Bal Sheet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3"/>
      </tp>
      <tp>
        <v>0</v>
        <stp/>
        <stp>##V3_BDHV12</stp>
        <stp>XOM US Equity</stp>
        <stp>OTHER_NONCURRENT_ASSETS_DETAILED</stp>
        <stp>FQ1 2002</stp>
        <stp>FQ1 2002</stp>
        <stp>[FA1_ivyerigx.xlsx]Bal Sheet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3"/>
      </tp>
      <tp>
        <v>1688</v>
        <stp/>
        <stp>##V3_BDHV12</stp>
        <stp>XOM US Equity</stp>
        <stp>BS_CASH_NEAR_CASH_ITEM</stp>
        <stp>FQ4 1999</stp>
        <stp>FQ4 1999</stp>
        <stp>[FA1_ivyerigx.xlsx]Bal Sheet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3"/>
      </tp>
      <tp t="s">
        <v>—</v>
        <stp/>
        <stp>##V3_BDHV12</stp>
        <stp>XOM US Equity</stp>
        <stp>XO_GL_NET_OF_TAX</stp>
        <stp>FQ3 2006</stp>
        <stp>FQ3 2006</stp>
        <stp>[FA1_ivyerigx.xlsx]Income - Adjusted!R31C35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2"/>
      </tp>
      <tp t="s">
        <v>—</v>
        <stp/>
        <stp>##V3_BDHV12</stp>
        <stp>XOM US Equity</stp>
        <stp>XO_GL_NET_OF_TAX</stp>
        <stp>FQ3 2006</stp>
        <stp>FQ3 2006</stp>
        <stp>[FA1_ivyerigx.xlsx]Income - Adjusted!R21C35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2"/>
      </tp>
      <tp>
        <v>0</v>
        <stp/>
        <stp>##V3_BDHV12</stp>
        <stp>XOM US Equity</stp>
        <stp>OTHER_NONCURRENT_ASSETS_DETAILED</stp>
        <stp>FQ2 2003</stp>
        <stp>FQ2 2003</stp>
        <stp>[FA1_ivyerigx.xlsx]Bal Sheet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3"/>
      </tp>
      <tp t="s">
        <v>—</v>
        <stp/>
        <stp>##V3_BDHV12</stp>
        <stp>XOM US Equity</stp>
        <stp>OTHER_NONCURRENT_ASSETS_DETAILED</stp>
        <stp>FQ1 2001</stp>
        <stp>FQ1 2001</stp>
        <stp>[FA1_ivyerigx.xlsx]Bal Sheet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3"/>
      </tp>
      <tp>
        <v>7056</v>
        <stp/>
        <stp>##V3_BDHV12</stp>
        <stp>XOM US Equity</stp>
        <stp>OTHER_NONCURRENT_ASSETS_DETAILED</stp>
        <stp>FQ4 2007</stp>
        <stp>FQ4 2007</stp>
        <stp>[FA1_ivyerigx.xlsx]Bal Sheet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3"/>
      </tp>
      <tp>
        <v>0</v>
        <stp/>
        <stp>##V3_BDHV12</stp>
        <stp>XOM US Equity</stp>
        <stp>OTHER_NONCURRENT_ASSETS_DETAILED</stp>
        <stp>FQ3 2006</stp>
        <stp>FQ3 2006</stp>
        <stp>[FA1_ivyerigx.xlsx]Bal Sheet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3"/>
      </tp>
      <tp>
        <v>0</v>
        <stp/>
        <stp>##V3_BDHV12</stp>
        <stp>XOM US Equity</stp>
        <stp>OTHER_NONCURRENT_ASSETS_DETAILED</stp>
        <stp>FQ2 2004</stp>
        <stp>FQ2 2004</stp>
        <stp>[FA1_ivyerigx.xlsx]Bal Sheet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3"/>
      </tp>
      <tp>
        <v>-1035</v>
        <stp/>
        <stp>##V3_BDHV12</stp>
        <stp>XOM US Equity</stp>
        <stp>CF_NET_CHNG_CASH</stp>
        <stp>FQ2 2007</stp>
        <stp>FQ2 2007</stp>
        <stp>[FA1_ivyerigx.xlsx]Cash Flow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4"/>
      </tp>
      <tp>
        <v>-1506</v>
        <stp/>
        <stp>##V3_BDHV12</stp>
        <stp>XOM US Equity</stp>
        <stp>CF_NET_CHNG_CASH</stp>
        <stp>FQ3 2003</stp>
        <stp>FQ3 2003</stp>
        <stp>[FA1_ivyerigx.xlsx]Cash Flow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4"/>
      </tp>
      <tp>
        <v>168</v>
        <stp/>
        <stp>##V3_BDHV12</stp>
        <stp>XOM US Equity</stp>
        <stp>CF_NET_CHNG_CASH</stp>
        <stp>FQ2 2006</stp>
        <stp>FQ2 2006</stp>
        <stp>[FA1_ivyerigx.xlsx]Cash Flow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4"/>
      </tp>
      <tp>
        <v>1931</v>
        <stp/>
        <stp>##V3_BDHV12</stp>
        <stp>XOM US Equity</stp>
        <stp>CF_NET_CHNG_CASH</stp>
        <stp>FQ3 2004</stp>
        <stp>FQ3 2004</stp>
        <stp>[FA1_ivyerigx.xlsx]Cash Flow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4"/>
      </tp>
      <tp>
        <v>32312</v>
        <stp/>
        <stp>##V3_BDHV12</stp>
        <stp>XOM US Equity</stp>
        <stp>OTHER_NONCURRENT_ASSETS_DETAILED</stp>
        <stp>FQ3 2007</stp>
        <stp>FQ3 2007</stp>
        <stp>[FA1_ivyerigx.xlsx]Bal Sheet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3"/>
      </tp>
      <tp>
        <v>1328</v>
        <stp/>
        <stp>##V3_BDHV12</stp>
        <stp>XOM US Equity</stp>
        <stp>BS_CASH_NEAR_CASH_ITEM</stp>
        <stp>FQ2 1999</stp>
        <stp>FQ2 1999</stp>
        <stp>[FA1_ivyerigx.xlsx]Bal Sheet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3"/>
      </tp>
      <tp>
        <v>0</v>
        <stp/>
        <stp>##V3_BDHV12</stp>
        <stp>XOM US Equity</stp>
        <stp>XO_GL_NET_OF_TAX</stp>
        <stp>FQ1 2005</stp>
        <stp>FQ1 2005</stp>
        <stp>[FA1_ivyerigx.xlsx]Income - Adjusted!R21C29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2"/>
      </tp>
      <tp>
        <v>1151</v>
        <stp/>
        <stp>##V3_BDHV12</stp>
        <stp>XOM US Equity</stp>
        <stp>BS_CASH_NEAR_CASH_ITEM</stp>
        <stp>FQ3 1999</stp>
        <stp>FQ3 1999</stp>
        <stp>[FA1_ivyerigx.xlsx]Bal Sheet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3"/>
      </tp>
      <tp>
        <v>0</v>
        <stp/>
        <stp>##V3_BDHV12</stp>
        <stp>XOM US Equity</stp>
        <stp>XO_GL_NET_OF_TAX</stp>
        <stp>FQ1 2005</stp>
        <stp>FQ1 2005</stp>
        <stp>[FA1_ivyerigx.xlsx]Income - Adjusted!R31C29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2"/>
      </tp>
      <tp>
        <v>483</v>
        <stp/>
        <stp>##V3_BDHV12</stp>
        <stp>XOM US Equity</stp>
        <stp>CF_NET_CHNG_CASH</stp>
        <stp>FQ2 2005</stp>
        <stp>FQ2 2005</stp>
        <stp>[FA1_ivyerigx.xlsx]Cash Flow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4"/>
      </tp>
      <tp>
        <v>0</v>
        <stp/>
        <stp>##V3_BDHV12</stp>
        <stp>XOM US Equity</stp>
        <stp>XO_GL_NET_OF_TAX</stp>
        <stp>FQ2 2007</stp>
        <stp>FQ2 2007</stp>
        <stp>[FA1_ivyerigx.xlsx]Income - Adjusted!R31C38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2"/>
      </tp>
      <tp>
        <v>1385</v>
        <stp/>
        <stp>##V3_BDHV12</stp>
        <stp>XOM US Equity</stp>
        <stp>BS_CASH_NEAR_CASH_ITEM</stp>
        <stp>FQ1 1999</stp>
        <stp>FQ1 1999</stp>
        <stp>[FA1_ivyerigx.xlsx]Bal Sheet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3"/>
      </tp>
      <tp>
        <v>0</v>
        <stp/>
        <stp>##V3_BDHV12</stp>
        <stp>XOM US Equity</stp>
        <stp>XO_GL_NET_OF_TAX</stp>
        <stp>FQ2 2007</stp>
        <stp>FQ2 2007</stp>
        <stp>[FA1_ivyerigx.xlsx]Income - Adjusted!R21C38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2"/>
      </tp>
      <tp>
        <v>14639</v>
        <stp/>
        <stp>##V3_BDHV12</stp>
        <stp>XOM US Equity</stp>
        <stp>OTHER_CURRENT_LIABS_DETAILED</stp>
        <stp>FQ4 1999</stp>
        <stp>FQ4 1999</stp>
        <stp>[FA1_ivyerigx.xlsx]Bal Sheet - Standardized!R34C8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4" s="3"/>
      </tp>
      <tp>
        <v>35489</v>
        <stp/>
        <stp>##V3_BDHV12</stp>
        <stp>XOM US Equity</stp>
        <stp>ACCT_PAYABLE_&amp;_ACCRUALS_DETAILED</stp>
        <stp>FQ1 2005</stp>
        <stp>FQ1 2005</stp>
        <stp>[FA1_ivyerigx.xlsx]Bal Sheet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3"/>
      </tp>
      <tp>
        <v>24140</v>
        <stp/>
        <stp>##V3_BDHV12</stp>
        <stp>XOM US Equity</stp>
        <stp>ACCT_PAYABLE_&amp;_ACCRUALS_DETAILED</stp>
        <stp>FQ2 2002</stp>
        <stp>FQ2 2002</stp>
        <stp>[FA1_ivyerigx.xlsx]Bal Sheet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3"/>
      </tp>
      <tp>
        <v>1349</v>
        <stp/>
        <stp>##V3_BDHV12</stp>
        <stp>XOM US Equity</stp>
        <stp>OTHER_CURRENT_LIABS_DETAILED</stp>
        <stp>FQ3 1999</stp>
        <stp>FQ3 1999</stp>
        <stp>[FA1_ivyerigx.xlsx]Bal Sheet - Standardized!R34C7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4" s="3"/>
      </tp>
      <tp>
        <v>1206</v>
        <stp/>
        <stp>##V3_BDHV12</stp>
        <stp>XOM US Equity</stp>
        <stp>OTHER_CURRENT_LIABS_DETAILED</stp>
        <stp>FQ2 1999</stp>
        <stp>FQ2 1999</stp>
        <stp>[FA1_ivyerigx.xlsx]Bal Sheet - Standardized!R34C6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4" s="3"/>
      </tp>
      <tp>
        <v>1365</v>
        <stp/>
        <stp>##V3_BDHV12</stp>
        <stp>XOM US Equity</stp>
        <stp>OTHER_CURRENT_LIABS_DETAILED</stp>
        <stp>FQ1 1999</stp>
        <stp>FQ1 1999</stp>
        <stp>[FA1_ivyerigx.xlsx]Bal Sheet - Standardized!R34C5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4" s="3"/>
      </tp>
      <tp>
        <v>25307</v>
        <stp/>
        <stp>##V3_BDHV12</stp>
        <stp>XOM US Equity</stp>
        <stp>ACCT_PAYABLE_&amp;_ACCRUALS_DETAILED</stp>
        <stp>FQ2 2001</stp>
        <stp>FQ2 2001</stp>
        <stp>[FA1_ivyerigx.xlsx]Bal Sheet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3"/>
      </tp>
      <tp>
        <v>7795</v>
        <stp/>
        <stp>##V3_BDHV12</stp>
        <stp>XOM US Equity</stp>
        <stp>OTHER_CURRENT_LIABS_DETAILED</stp>
        <stp>FQ4 1998</stp>
        <stp>FQ4 1998</stp>
        <stp>[FA1_ivyerigx.xlsx]Bal Sheet - Standardized!R34C4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4" s="3"/>
      </tp>
      <tp>
        <v>1857</v>
        <stp/>
        <stp>##V3_BDHV12</stp>
        <stp>XOM US Equity</stp>
        <stp>OTHER_CURRENT_LIABS_DETAILED</stp>
        <stp>FQ3 1998</stp>
        <stp>FQ3 1998</stp>
        <stp>[FA1_ivyerigx.xlsx]Bal Sheet - Standardized!R34C3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27217</v>
        <stp/>
        <stp>##V3_BDHV12</stp>
        <stp>XOM US Equity</stp>
        <stp>ACCT_PAYABLE_&amp;_ACCRUALS_DETAILED</stp>
        <stp>FQ2 2000</stp>
        <stp>FQ2 2000</stp>
        <stp>[FA1_ivyerigx.xlsx]Bal Sheet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3"/>
      </tp>
      <tp>
        <v>27592</v>
        <stp/>
        <stp>##V3_BDHV12</stp>
        <stp>XOM US Equity</stp>
        <stp>ACCT_PAYABLE_&amp;_ACCRUALS_DETAILED</stp>
        <stp>FQ1 2003</stp>
        <stp>FQ1 2003</stp>
        <stp>[FA1_ivyerigx.xlsx]Bal Sheet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3"/>
      </tp>
      <tp>
        <v>30356</v>
        <stp/>
        <stp>##V3_BDHV12</stp>
        <stp>XOM US Equity</stp>
        <stp>ACCT_PAYABLE_&amp;_ACCRUALS_DETAILED</stp>
        <stp>FQ1 2004</stp>
        <stp>FQ1 2004</stp>
        <stp>[FA1_ivyerigx.xlsx]Bal Sheet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3"/>
      </tp>
      <tp>
        <v>-3.1808000000000001</v>
        <stp/>
        <stp>##V3_BDHV12</stp>
        <stp>XOM US Equity</stp>
        <stp>CHG_PCT_PERIOD</stp>
        <stp>FQ1 2000</stp>
        <stp>FQ1 2000</stp>
        <stp>[FA1_ivyerigx.xlsx]Stock Value!R7C9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6"/>
      </tp>
      <tp>
        <v>1.4943</v>
        <stp/>
        <stp>##V3_BDHV12</stp>
        <stp>XOM US Equity</stp>
        <stp>CASH_FLOW_TO_NET_INC</stp>
        <stp>FQ2 2004</stp>
        <stp>FQ2 2004</stp>
        <stp>[FA1_ivyerigx.xlsx]Cash Flow - Standardized!R51C26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51" s="4"/>
      </tp>
      <tp>
        <v>1.6642999999999999</v>
        <stp/>
        <stp>##V3_BDHV12</stp>
        <stp>XOM US Equity</stp>
        <stp>CASH_FLOW_TO_NET_INC</stp>
        <stp>FQ3 2004</stp>
        <stp>FQ3 2004</stp>
        <stp>[FA1_ivyerigx.xlsx]Cash Flow - Standardized!R51C27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51" s="4"/>
      </tp>
      <tp>
        <v>1.8635999999999999</v>
        <stp/>
        <stp>##V3_BDHV12</stp>
        <stp>XOM US Equity</stp>
        <stp>CASH_FLOW_TO_NET_INC</stp>
        <stp>FQ1 2004</stp>
        <stp>FQ1 2004</stp>
        <stp>[FA1_ivyerigx.xlsx]Cash Flow - Standardized!R51C25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51" s="4"/>
      </tp>
      <tp>
        <v>1.4618</v>
        <stp/>
        <stp>##V3_BDHV12</stp>
        <stp>XOM US Equity</stp>
        <stp>CASH_FLOW_TO_NET_INC</stp>
        <stp>FQ4 2004</stp>
        <stp>FQ4 2004</stp>
        <stp>[FA1_ivyerigx.xlsx]Cash Flow - Standardized!R51C28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51" s="4"/>
      </tp>
      <tp>
        <v>-9.6930999999999994</v>
        <stp/>
        <stp>##V3_BDHV12</stp>
        <stp>XOM US Equity</stp>
        <stp>CASH_CONVERSION_CYCLE</stp>
        <stp>FQ2 2000</stp>
        <stp>FQ2 2000</stp>
        <stp>[FA1_ivyerigx.xlsx]Bal Sheet - Standardized!R64C10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64" s="3"/>
      </tp>
      <tp>
        <v>-7.7709000000000001</v>
        <stp/>
        <stp>##V3_BDHV12</stp>
        <stp>XOM US Equity</stp>
        <stp>CASH_CONVERSION_CYCLE</stp>
        <stp>FQ3 2000</stp>
        <stp>FQ3 2000</stp>
        <stp>[FA1_ivyerigx.xlsx]Bal Sheet - Standardized!R64C11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64" s="3"/>
      </tp>
      <tp>
        <v>22.776</v>
        <stp/>
        <stp>##V3_BDHV12</stp>
        <stp>XOM US Equity</stp>
        <stp>CASH_CONVERSION_CYCLE</stp>
        <stp>FQ4 2000</stp>
        <stp>FQ4 2000</stp>
        <stp>[FA1_ivyerigx.xlsx]Bal Sheet - Standardized!R64C12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64" s="3"/>
      </tp>
      <tp>
        <v>5.3247</v>
        <stp/>
        <stp>##V3_BDHV12</stp>
        <stp>XOM US Equity</stp>
        <stp>CASH_ST_INVESTMENTS_PER_SH</stp>
        <stp>FQ1 2007</stp>
        <stp>FQ1 2007</stp>
        <stp>[FA1_ivyerigx.xlsx]Per Share!R25C37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5" s="5"/>
      </tp>
      <tp>
        <v>0.84150000000000003</v>
        <stp/>
        <stp>##V3_BDHV12</stp>
        <stp>XOM US Equity</stp>
        <stp>CASH_ST_INVESTMENTS_PER_SH</stp>
        <stp>FQ2 2000</stp>
        <stp>FQ2 2000</stp>
        <stp>[FA1_ivyerigx.xlsx]Per Share!R25C10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5" s="5"/>
      </tp>
      <tp>
        <v>1.6667000000000001</v>
        <stp/>
        <stp>##V3_BDHV12</stp>
        <stp>XOM US Equity</stp>
        <stp>CASH_ST_INVESTMENTS_PER_SH</stp>
        <stp>FQ3 2003</stp>
        <stp>FQ3 2003</stp>
        <stp>[FA1_ivyerigx.xlsx]Per Share!R25C23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5" s="5"/>
      </tp>
      <tp>
        <v>4.93</v>
        <stp/>
        <stp>##V3_BDHV12</stp>
        <stp>XOM US Equity</stp>
        <stp>CASH_ST_INVESTMENTS_PER_SH</stp>
        <stp>FQ4 2006</stp>
        <stp>FQ4 2006</stp>
        <stp>[FA1_ivyerigx.xlsx]Per Share!R25C36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5" s="5"/>
      </tp>
      <tp>
        <v>7000</v>
        <stp/>
        <stp>##V3_BDHV12</stp>
        <stp>XOM US Equity</stp>
        <stp>OTHER_CURRENT_ASSETS_DETAILED</stp>
        <stp>FQ4 2004</stp>
        <stp>FQ4 2004</stp>
        <stp>[FA1_ivyerigx.xlsx]Bal Sheet - Standardized!R17C28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3"/>
      </tp>
      <tp>
        <v>6601</v>
        <stp/>
        <stp>##V3_BDHV12</stp>
        <stp>XOM US Equity</stp>
        <stp>OTHER_CURRENT_ASSETS_DETAILED</stp>
        <stp>FQ2 2008</stp>
        <stp>FQ2 2008</stp>
        <stp>[FA1_ivyerigx.xlsx]Bal Sheet - Standardized!R17C42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3"/>
      </tp>
      <tp>
        <v>1831</v>
        <stp/>
        <stp>##V3_BDHV12</stp>
        <stp>XOM US Equity</stp>
        <stp>OTHER_CURRENT_ASSETS_DETAILED</stp>
        <stp>FQ4 2002</stp>
        <stp>FQ4 2002</stp>
        <stp>[FA1_ivyerigx.xlsx]Bal Sheet - Standardized!R17C20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3"/>
      </tp>
      <tp>
        <v>52312</v>
        <stp/>
        <stp>##V3_BDHV12</stp>
        <stp>XOM US Equity</stp>
        <stp>IS_COGS_TO_FE_AND_PP_AND_G</stp>
        <stp>FQ4 1999</stp>
        <stp>FQ4 1999</stp>
        <stp>[FA1_ivyerigx.xlsx]Income - Adjusted!R7C8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7" s="2"/>
      </tp>
      <tp>
        <v>2068</v>
        <stp/>
        <stp>##V3_BDHV12</stp>
        <stp>XOM US Equity</stp>
        <stp>OTHER_CURRENT_ASSETS_DETAILED</stp>
        <stp>FQ4 2003</stp>
        <stp>FQ4 2003</stp>
        <stp>[FA1_ivyerigx.xlsx]Bal Sheet - Standardized!R17C24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3"/>
      </tp>
      <tp>
        <v>79682</v>
        <stp/>
        <stp>##V3_BDHV12</stp>
        <stp>XOM US Equity</stp>
        <stp>BS_TOT_LIAB2</stp>
        <stp>FQ2 2000</stp>
        <stp>FQ2 2000</stp>
        <stp>[FA1_ivyerigx.xlsx]Bal Sheet - Standardized!R40C10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0" s="3"/>
      </tp>
      <tp>
        <v>82910</v>
        <stp/>
        <stp>##V3_BDHV12</stp>
        <stp>XOM US Equity</stp>
        <stp>BS_TOT_LIAB2</stp>
        <stp>FQ1 2003</stp>
        <stp>FQ1 2003</stp>
        <stp>[FA1_ivyerigx.xlsx]Bal Sheet - Standardized!R40C21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0" s="3"/>
      </tp>
      <tp>
        <v>88521</v>
        <stp/>
        <stp>##V3_BDHV12</stp>
        <stp>XOM US Equity</stp>
        <stp>BS_TOT_LIAB2</stp>
        <stp>FQ1 2004</stp>
        <stp>FQ1 2004</stp>
        <stp>[FA1_ivyerigx.xlsx]Bal Sheet - Standardized!R40C25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0" s="3"/>
      </tp>
      <tp>
        <v>74686</v>
        <stp/>
        <stp>##V3_BDHV12</stp>
        <stp>XOM US Equity</stp>
        <stp>BS_TOT_LIAB2</stp>
        <stp>FQ2 2001</stp>
        <stp>FQ2 2001</stp>
        <stp>[FA1_ivyerigx.xlsx]Bal Sheet - Standardized!R40C14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0" s="3"/>
      </tp>
      <tp>
        <v>83296</v>
        <stp/>
        <stp>##V3_BDHV12</stp>
        <stp>XOM US Equity</stp>
        <stp>IS_COGS_TO_FE_AND_PP_AND_G</stp>
        <stp>FQ4 2007</stp>
        <stp>FQ4 2007</stp>
        <stp>[FA1_ivyerigx.xlsx]Income - Adjusted!R7C40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7" s="2"/>
      </tp>
      <tp>
        <v>73114</v>
        <stp/>
        <stp>##V3_BDHV12</stp>
        <stp>XOM US Equity</stp>
        <stp>BS_TOT_LIAB2</stp>
        <stp>FQ2 2002</stp>
        <stp>FQ2 2002</stp>
        <stp>[FA1_ivyerigx.xlsx]Bal Sheet - Standardized!R40C18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0" s="3"/>
      </tp>
      <tp>
        <v>59286</v>
        <stp/>
        <stp>##V3_BDHV12</stp>
        <stp>XOM US Equity</stp>
        <stp>IS_COGS_TO_FE_AND_PP_AND_G</stp>
        <stp>FQ4 2005</stp>
        <stp>FQ4 2005</stp>
        <stp>[FA1_ivyerigx.xlsx]Income - Adjusted!R7C32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7" s="2"/>
      </tp>
      <tp>
        <v>35896</v>
        <stp/>
        <stp>##V3_BDHV12</stp>
        <stp>XOM US Equity</stp>
        <stp>IS_COGS_TO_FE_AND_PP_AND_G</stp>
        <stp>FQ4 2003</stp>
        <stp>FQ4 2003</stp>
        <stp>[FA1_ivyerigx.xlsx]Income - Adjusted!R7C24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7" s="2"/>
      </tp>
      <tp>
        <v>35600</v>
        <stp/>
        <stp>##V3_BDHV12</stp>
        <stp>XOM US Equity</stp>
        <stp>IS_COGS_TO_FE_AND_PP_AND_G</stp>
        <stp>FQ1 2003</stp>
        <stp>FQ1 2003</stp>
        <stp>[FA1_ivyerigx.xlsx]Income - Adjusted!R7C21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7" s="2"/>
      </tp>
      <tp>
        <v>31716</v>
        <stp/>
        <stp>##V3_BDHV12</stp>
        <stp>XOM US Equity</stp>
        <stp>IS_COGS_TO_FE_AND_PP_AND_G</stp>
        <stp>FQ2 2003</stp>
        <stp>FQ2 2003</stp>
        <stp>[FA1_ivyerigx.xlsx]Income - Adjusted!R7C22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7" s="2"/>
      </tp>
      <tp>
        <v>34753</v>
        <stp/>
        <stp>##V3_BDHV12</stp>
        <stp>XOM US Equity</stp>
        <stp>IS_COGS_TO_FE_AND_PP_AND_G</stp>
        <stp>FQ3 2003</stp>
        <stp>FQ3 2003</stp>
        <stp>[FA1_ivyerigx.xlsx]Income - Adjusted!R7C23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7" s="2"/>
      </tp>
      <tp>
        <v>33759</v>
        <stp/>
        <stp>##V3_BDHV12</stp>
        <stp>XOM US Equity</stp>
        <stp>IS_COGS_TO_FE_AND_PP_AND_G</stp>
        <stp>FQ4 2001</stp>
        <stp>FQ4 2001</stp>
        <stp>[FA1_ivyerigx.xlsx]Income - Adjusted!R7C16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7" s="2"/>
      </tp>
      <tp>
        <v>31843</v>
        <stp/>
        <stp>##V3_BDHV12</stp>
        <stp>XOM US Equity</stp>
        <stp>IS_COGS_TO_FE_AND_PP_AND_G</stp>
        <stp>FQ1 2001</stp>
        <stp>FQ1 2001</stp>
        <stp>[FA1_ivyerigx.xlsx]Income - Adjusted!R7C13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7" s="2"/>
      </tp>
      <tp>
        <v>97554</v>
        <stp/>
        <stp>##V3_BDHV12</stp>
        <stp>XOM US Equity</stp>
        <stp>BS_TOT_LIAB2</stp>
        <stp>FQ1 2005</stp>
        <stp>FQ1 2005</stp>
        <stp>[FA1_ivyerigx.xlsx]Bal Sheet - Standardized!R40C29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0" s="3"/>
      </tp>
      <tp>
        <v>446836.14</v>
        <stp/>
        <stp>##V3_BDHV12</stp>
        <stp>XOM US Equity</stp>
        <stp>HISTORICAL_MARKET_CAP</stp>
        <stp>FQ1 2008</stp>
        <stp>FQ1 2008</stp>
        <stp>[FA1_ivyerigx.xlsx]Stock Value!R12C41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6"/>
      </tp>
      <tp>
        <v>457747.22</v>
        <stp/>
        <stp>##V3_BDHV12</stp>
        <stp>XOM US Equity</stp>
        <stp>HISTORICAL_MARKET_CAP</stp>
        <stp>FQ2 2008</stp>
        <stp>FQ2 2008</stp>
        <stp>[FA1_ivyerigx.xlsx]Stock Value!R12C42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6"/>
      </tp>
      <tp>
        <v>504239.58</v>
        <stp/>
        <stp>##V3_BDHV12</stp>
        <stp>XOM US Equity</stp>
        <stp>HISTORICAL_MARKET_CAP</stp>
        <stp>FQ4 2007</stp>
        <stp>FQ4 2007</stp>
        <stp>[FA1_ivyerigx.xlsx]Stock Value!R12C40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6"/>
      </tp>
      <tp>
        <v>0</v>
        <stp/>
        <stp>##V3_BDHV12</stp>
        <stp>XOM US Equity</stp>
        <stp>XO_GL_NET_OF_TAX</stp>
        <stp>FQ1 2007</stp>
        <stp>FQ1 2007</stp>
        <stp>[FA1_ivyerigx.xlsx]Income - Adjusted!R21C37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2"/>
      </tp>
      <tp>
        <v>0</v>
        <stp/>
        <stp>##V3_BDHV12</stp>
        <stp>XOM US Equity</stp>
        <stp>OTHER_NONCURRENT_ASSETS_DETAILED</stp>
        <stp>FQ2 2001</stp>
        <stp>FQ2 2001</stp>
        <stp>[FA1_ivyerigx.xlsx]Bal Sheet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3"/>
      </tp>
      <tp>
        <v>0</v>
        <stp/>
        <stp>##V3_BDHV12</stp>
        <stp>XOM US Equity</stp>
        <stp>XO_GL_NET_OF_TAX</stp>
        <stp>FQ1 2007</stp>
        <stp>FQ1 2007</stp>
        <stp>[FA1_ivyerigx.xlsx]Income - Adjusted!R31C37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2"/>
      </tp>
      <tp>
        <v>-315</v>
        <stp/>
        <stp>##V3_BDHV12</stp>
        <stp>XOM US Equity</stp>
        <stp>XO_GL_NET_OF_TAX</stp>
        <stp>FQ4 2000</stp>
        <stp>FQ4 2000</stp>
        <stp>[FA1_ivyerigx.xlsx]Income - Adjusted!R21C12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2"/>
      </tp>
      <tp>
        <v>0</v>
        <stp/>
        <stp>##V3_BDHV12</stp>
        <stp>XOM US Equity</stp>
        <stp>XO_GL_NET_OF_TAX</stp>
        <stp>FQ3 2004</stp>
        <stp>FQ3 2004</stp>
        <stp>[FA1_ivyerigx.xlsx]Income - Adjusted!R31C27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2"/>
      </tp>
      <tp>
        <v>1237</v>
        <stp/>
        <stp>##V3_BDHV12</stp>
        <stp>XOM US Equity</stp>
        <stp>CF_NET_CHNG_CASH</stp>
        <stp>FQ3 2002</stp>
        <stp>FQ3 2002</stp>
        <stp>[FA1_ivyerigx.xlsx]Cash Flow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4"/>
      </tp>
      <tp>
        <v>-315</v>
        <stp/>
        <stp>##V3_BDHV12</stp>
        <stp>XOM US Equity</stp>
        <stp>XO_GL_NET_OF_TAX</stp>
        <stp>FQ4 2000</stp>
        <stp>FQ4 2000</stp>
        <stp>[FA1_ivyerigx.xlsx]Income - Adjusted!R31C12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2"/>
      </tp>
      <tp>
        <v>0</v>
        <stp/>
        <stp>##V3_BDHV12</stp>
        <stp>XOM US Equity</stp>
        <stp>XO_GL_NET_OF_TAX</stp>
        <stp>FQ3 2004</stp>
        <stp>FQ3 2004</stp>
        <stp>[FA1_ivyerigx.xlsx]Income - Adjusted!R21C27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2"/>
      </tp>
      <tp>
        <v>0</v>
        <stp/>
        <stp>##V3_BDHV12</stp>
        <stp>XOM US Equity</stp>
        <stp>OTHER_NONCURRENT_ASSETS_DETAILED</stp>
        <stp>FQ2 2000</stp>
        <stp>FQ2 2000</stp>
        <stp>[FA1_ivyerigx.xlsx]Bal Sheet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3"/>
      </tp>
      <tp>
        <v>0</v>
        <stp/>
        <stp>##V3_BDHV12</stp>
        <stp>XOM US Equity</stp>
        <stp>XO_GL_NET_OF_TAX</stp>
        <stp>FQ3 2005</stp>
        <stp>FQ3 2005</stp>
        <stp>[FA1_ivyerigx.xlsx]Income - Adjusted!R21C31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2"/>
      </tp>
      <tp>
        <v>0</v>
        <stp/>
        <stp>##V3_BDHV12</stp>
        <stp>XOM US Equity</stp>
        <stp>OTHER_NONCURRENT_ASSETS_DETAILED</stp>
        <stp>FQ1 2003</stp>
        <stp>FQ1 2003</stp>
        <stp>[FA1_ivyerigx.xlsx]Bal Sheet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3"/>
      </tp>
      <tp>
        <v>0</v>
        <stp/>
        <stp>##V3_BDHV12</stp>
        <stp>XOM US Equity</stp>
        <stp>XO_GL_NET_OF_TAX</stp>
        <stp>FQ3 2005</stp>
        <stp>FQ3 2005</stp>
        <stp>[FA1_ivyerigx.xlsx]Income - Adjusted!R31C31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2"/>
      </tp>
      <tp>
        <v>0</v>
        <stp/>
        <stp>##V3_BDHV12</stp>
        <stp>XOM US Equity</stp>
        <stp>OTHER_NONCURRENT_ASSETS_DETAILED</stp>
        <stp>FQ1 2004</stp>
        <stp>FQ1 2004</stp>
        <stp>[FA1_ivyerigx.xlsx]Bal Sheet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3"/>
      </tp>
      <tp>
        <v>0</v>
        <stp/>
        <stp>##V3_BDHV12</stp>
        <stp>XOM US Equity</stp>
        <stp>XO_GL_NET_OF_TAX</stp>
        <stp>FQ4 2003</stp>
        <stp>FQ4 2003</stp>
        <stp>[FA1_ivyerigx.xlsx]Income - Adjusted!R31C24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2"/>
      </tp>
      <tp>
        <v>0</v>
        <stp/>
        <stp>##V3_BDHV12</stp>
        <stp>XOM US Equity</stp>
        <stp>XO_GL_NET_OF_TAX</stp>
        <stp>FQ4 2003</stp>
        <stp>FQ4 2003</stp>
        <stp>[FA1_ivyerigx.xlsx]Income - Adjusted!R21C24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2"/>
      </tp>
      <tp>
        <v>831</v>
        <stp/>
        <stp>##V3_BDHV12</stp>
        <stp>XOM US Equity</stp>
        <stp>CF_NET_CHNG_CASH</stp>
        <stp>FQ3 2000</stp>
        <stp>FQ3 2000</stp>
        <stp>[FA1_ivyerigx.xlsx]Cash Flow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4"/>
      </tp>
      <tp>
        <v>25247</v>
        <stp/>
        <stp>##V3_BDHV12</stp>
        <stp>XOM US Equity</stp>
        <stp>OTHER_NONCURRENT_ASSETS_DETAILED</stp>
        <stp>FQ1 2005</stp>
        <stp>FQ1 2005</stp>
        <stp>[FA1_ivyerigx.xlsx]Bal Sheet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3"/>
      </tp>
      <tp>
        <v>1750</v>
        <stp/>
        <stp>##V3_BDHV12</stp>
        <stp>XOM US Equity</stp>
        <stp>CF_NET_CHNG_CASH</stp>
        <stp>FQ1 2007</stp>
        <stp>FQ1 2007</stp>
        <stp>[FA1_ivyerigx.xlsx]Cash Flow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4"/>
      </tp>
      <tp>
        <v>-272</v>
        <stp/>
        <stp>##V3_BDHV12</stp>
        <stp>XOM US Equity</stp>
        <stp>CF_NET_CHNG_CASH</stp>
        <stp>FQ3 2001</stp>
        <stp>FQ3 2001</stp>
        <stp>[FA1_ivyerigx.xlsx]Cash Flow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4"/>
      </tp>
      <tp>
        <v>0</v>
        <stp/>
        <stp>##V3_BDHV12</stp>
        <stp>XOM US Equity</stp>
        <stp>OTHER_NONCURRENT_ASSETS_DETAILED</stp>
        <stp>FQ2 2002</stp>
        <stp>FQ2 2002</stp>
        <stp>[FA1_ivyerigx.xlsx]Bal Sheet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3"/>
      </tp>
      <tp>
        <v>3274</v>
        <stp/>
        <stp>##V3_BDHV12</stp>
        <stp>XOM US Equity</stp>
        <stp>CF_NET_CHNG_CASH</stp>
        <stp>FQ1 2006</stp>
        <stp>FQ1 2006</stp>
        <stp>[FA1_ivyerigx.xlsx]Cash Flow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4"/>
      </tp>
      <tp t="s">
        <v>—</v>
        <stp/>
        <stp>##V3_BDHV12</stp>
        <stp>XOM US Equity</stp>
        <stp>EBITDA_MARGIN</stp>
        <stp>FQ4 1998</stp>
        <stp>FQ4 1998</stp>
        <stp>[FA1_ivyerigx.xlsx]Cash Flow - Standardized!R43C4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43" s="4"/>
      </tp>
      <tp>
        <v>43525</v>
        <stp/>
        <stp>##V3_BDHV12</stp>
        <stp>XOM US Equity</stp>
        <stp>ACCT_PAYABLE_&amp;_ACCRUALS_DETAILED</stp>
        <stp>FQ3 2007</stp>
        <stp>FQ3 2007</stp>
        <stp>[FA1_ivyerigx.xlsx]Bal Sheet - Standardized!R30C39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3"/>
      </tp>
      <tp>
        <v>39055</v>
        <stp/>
        <stp>##V3_BDHV12</stp>
        <stp>XOM US Equity</stp>
        <stp>ACCT_PAYABLE_&amp;_ACCRUALS_DETAILED</stp>
        <stp>FQ3 2005</stp>
        <stp>FQ3 2005</stp>
        <stp>[FA1_ivyerigx.xlsx]Bal Sheet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3"/>
      </tp>
      <tp>
        <v>23159</v>
        <stp/>
        <stp>##V3_BDHV12</stp>
        <stp>XOM US Equity</stp>
        <stp>ACCT_PAYABLE_&amp;_ACCRUALS_DETAILED</stp>
        <stp>FQ1 2002</stp>
        <stp>FQ1 2002</stp>
        <stp>[FA1_ivyerigx.xlsx]Bal Sheet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3"/>
      </tp>
      <tp>
        <v>45275</v>
        <stp/>
        <stp>##V3_BDHV12</stp>
        <stp>XOM US Equity</stp>
        <stp>ACCT_PAYABLE_&amp;_ACCRUALS_DETAILED</stp>
        <stp>FQ4 2007</stp>
        <stp>FQ4 2007</stp>
        <stp>[FA1_ivyerigx.xlsx]Bal Sheet - Standardized!R30C40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3"/>
      </tp>
      <tp>
        <v>26530</v>
        <stp/>
        <stp>##V3_BDHV12</stp>
        <stp>XOM US Equity</stp>
        <stp>ACCT_PAYABLE_&amp;_ACCRUALS_DETAILED</stp>
        <stp>FQ2 2003</stp>
        <stp>FQ2 2003</stp>
        <stp>[FA1_ivyerigx.xlsx]Bal Sheet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3"/>
      </tp>
      <tp>
        <v>25164</v>
        <stp/>
        <stp>##V3_BDHV12</stp>
        <stp>XOM US Equity</stp>
        <stp>ACCT_PAYABLE_&amp;_ACCRUALS_DETAILED</stp>
        <stp>FQ1 2001</stp>
        <stp>FQ1 2001</stp>
        <stp>[FA1_ivyerigx.xlsx]Bal Sheet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3"/>
      </tp>
      <tp>
        <v>40225</v>
        <stp/>
        <stp>##V3_BDHV12</stp>
        <stp>XOM US Equity</stp>
        <stp>ACCT_PAYABLE_&amp;_ACCRUALS_DETAILED</stp>
        <stp>FQ3 2006</stp>
        <stp>FQ3 2006</stp>
        <stp>[FA1_ivyerigx.xlsx]Bal Sheet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3"/>
      </tp>
      <tp>
        <v>30184</v>
        <stp/>
        <stp>##V3_BDHV12</stp>
        <stp>XOM US Equity</stp>
        <stp>ACCT_PAYABLE_&amp;_ACCRUALS_DETAILED</stp>
        <stp>FQ2 2004</stp>
        <stp>FQ2 2004</stp>
        <stp>[FA1_ivyerigx.xlsx]Bal Sheet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3"/>
      </tp>
      <tp>
        <v>6548.7619999999997</v>
        <stp/>
        <stp>##V3_BDHV12</stp>
        <stp>XOM US Equity</stp>
        <stp>EQY_FLOAT</stp>
        <stp>FQ1 2004</stp>
        <stp>FQ1 2004</stp>
        <stp>[FA1_ivyerigx.xlsx]Stock Value!R14C25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4" s="6"/>
      </tp>
      <tp>
        <v>0.97209999999999996</v>
        <stp/>
        <stp>##V3_BDHV12</stp>
        <stp>XOM US Equity</stp>
        <stp>CASH_FLOW_TO_NET_INC</stp>
        <stp>FQ4 2007</stp>
        <stp>FQ4 2007</stp>
        <stp>[FA1_ivyerigx.xlsx]Cash Flow - Standardized!R51C40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51" s="4"/>
      </tp>
      <tp>
        <v>1.6007</v>
        <stp/>
        <stp>##V3_BDHV12</stp>
        <stp>XOM US Equity</stp>
        <stp>CASH_FLOW_TO_NET_INC</stp>
        <stp>FQ3 2007</stp>
        <stp>FQ3 2007</stp>
        <stp>[FA1_ivyerigx.xlsx]Cash Flow - Standardized!R51C39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51" s="4"/>
      </tp>
      <tp>
        <v>1.1031</v>
        <stp/>
        <stp>##V3_BDHV12</stp>
        <stp>XOM US Equity</stp>
        <stp>CASH_FLOW_TO_NET_INC</stp>
        <stp>FQ2 2007</stp>
        <stp>FQ2 2007</stp>
        <stp>[FA1_ivyerigx.xlsx]Cash Flow - Standardized!R51C38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51" s="4"/>
      </tp>
      <tp>
        <v>1.5394000000000001</v>
        <stp/>
        <stp>##V3_BDHV12</stp>
        <stp>XOM US Equity</stp>
        <stp>CASH_FLOW_TO_NET_INC</stp>
        <stp>FQ1 2007</stp>
        <stp>FQ1 2007</stp>
        <stp>[FA1_ivyerigx.xlsx]Cash Flow - Standardized!R51C37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51" s="4"/>
      </tp>
      <tp>
        <v>6496.8919999999998</v>
        <stp/>
        <stp>##V3_BDHV12</stp>
        <stp>XOM US Equity</stp>
        <stp>EQY_FLOAT</stp>
        <stp>FQ3 2004</stp>
        <stp>FQ3 2004</stp>
        <stp>[FA1_ivyerigx.xlsx]Stock Value!R14C27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4" s="6"/>
      </tp>
      <tp t="s">
        <v>—</v>
        <stp/>
        <stp>##V3_BDHV12</stp>
        <stp>XOM US Equity</stp>
        <stp>EQY_FLOAT</stp>
        <stp>FQ4 2002</stp>
        <stp>FQ4 2002</stp>
        <stp>[FA1_ivyerigx.xlsx]Stock Value!R14C20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4" s="6"/>
      </tp>
      <tp>
        <v>6531.2240000000002</v>
        <stp/>
        <stp>##V3_BDHV12</stp>
        <stp>XOM US Equity</stp>
        <stp>EQY_FLOAT</stp>
        <stp>FQ2 2004</stp>
        <stp>FQ2 2004</stp>
        <stp>[FA1_ivyerigx.xlsx]Stock Value!R14C26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4" s="6"/>
      </tp>
      <tp>
        <v>5452.607</v>
        <stp/>
        <stp>##V3_BDHV12</stp>
        <stp>XOM US Equity</stp>
        <stp>EQY_FLOAT</stp>
        <stp>FQ4 2007</stp>
        <stp>FQ4 2007</stp>
        <stp>[FA1_ivyerigx.xlsx]Stock Value!R14C40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4" s="6"/>
      </tp>
      <tp>
        <v>-9.7149999999999999</v>
        <stp/>
        <stp>##V3_BDHV12</stp>
        <stp>XOM US Equity</stp>
        <stp>CASH_CONVERSION_CYCLE</stp>
        <stp>FQ3 2003</stp>
        <stp>FQ3 2003</stp>
        <stp>[FA1_ivyerigx.xlsx]Bal Sheet - Standardized!R64C23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64" s="3"/>
      </tp>
      <tp>
        <v>-7.2099000000000002</v>
        <stp/>
        <stp>##V3_BDHV12</stp>
        <stp>XOM US Equity</stp>
        <stp>CASH_CONVERSION_CYCLE</stp>
        <stp>FQ2 2003</stp>
        <stp>FQ2 2003</stp>
        <stp>[FA1_ivyerigx.xlsx]Bal Sheet - Standardized!R64C22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64" s="3"/>
      </tp>
      <tp>
        <v>-8.0668000000000006</v>
        <stp/>
        <stp>##V3_BDHV12</stp>
        <stp>XOM US Equity</stp>
        <stp>CASH_CONVERSION_CYCLE</stp>
        <stp>FQ1 2003</stp>
        <stp>FQ1 2003</stp>
        <stp>[FA1_ivyerigx.xlsx]Bal Sheet - Standardized!R64C21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64" s="3"/>
      </tp>
      <tp>
        <v>23.163900000000002</v>
        <stp/>
        <stp>##V3_BDHV12</stp>
        <stp>XOM US Equity</stp>
        <stp>CASH_CONVERSION_CYCLE</stp>
        <stp>FQ4 2003</stp>
        <stp>FQ4 2003</stp>
        <stp>[FA1_ivyerigx.xlsx]Bal Sheet - Standardized!R64C24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64" s="3"/>
      </tp>
      <tp>
        <v>5.6128</v>
        <stp/>
        <stp>##V3_BDHV12</stp>
        <stp>XOM US Equity</stp>
        <stp>CASH_ST_INVESTMENTS_PER_SH</stp>
        <stp>FQ3 2006</stp>
        <stp>FQ3 2006</stp>
        <stp>[FA1_ivyerigx.xlsx]Per Share!R25C35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5" s="5"/>
      </tp>
      <tp>
        <v>2.4969000000000001</v>
        <stp/>
        <stp>##V3_BDHV12</stp>
        <stp>XOM US Equity</stp>
        <stp>CASH_ST_INVESTMENTS_PER_SH</stp>
        <stp>FQ3 2004</stp>
        <stp>FQ3 2004</stp>
        <stp>[FA1_ivyerigx.xlsx]Per Share!R25C27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5" s="5"/>
      </tp>
      <tp>
        <v>4559</v>
        <stp/>
        <stp>##V3_BDHV12</stp>
        <stp>XOM US Equity</stp>
        <stp>OTHER_CURRENT_ASSETS_DETAILED</stp>
        <stp>FQ1 2008</stp>
        <stp>FQ1 2008</stp>
        <stp>[FA1_ivyerigx.xlsx]Bal Sheet - Standardized!R17C41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3"/>
      </tp>
      <tp>
        <v>2018</v>
        <stp/>
        <stp>##V3_BDHV12</stp>
        <stp>XOM US Equity</stp>
        <stp>OTHER_CURRENT_ASSETS_DETAILED</stp>
        <stp>FQ4 2000</stp>
        <stp>FQ4 2000</stp>
        <stp>[FA1_ivyerigx.xlsx]Bal Sheet - Standardized!R17C12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3"/>
      </tp>
      <tp>
        <v>1681</v>
        <stp/>
        <stp>##V3_BDHV12</stp>
        <stp>XOM US Equity</stp>
        <stp>OTHER_CURRENT_ASSETS_DETAILED</stp>
        <stp>FQ4 2001</stp>
        <stp>FQ4 2001</stp>
        <stp>[FA1_ivyerigx.xlsx]Bal Sheet - Standardized!R17C16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3"/>
      </tp>
      <tp>
        <v>76897</v>
        <stp/>
        <stp>##V3_BDHV12</stp>
        <stp>XOM US Equity</stp>
        <stp>BS_TOT_LIAB2</stp>
        <stp>FQ1 2001</stp>
        <stp>FQ1 2001</stp>
        <stp>[FA1_ivyerigx.xlsx]Bal Sheet - Standardized!R40C13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0" s="3"/>
      </tp>
      <tp>
        <v>82522</v>
        <stp/>
        <stp>##V3_BDHV12</stp>
        <stp>XOM US Equity</stp>
        <stp>BS_TOT_LIAB2</stp>
        <stp>FQ2 2003</stp>
        <stp>FQ2 2003</stp>
        <stp>[FA1_ivyerigx.xlsx]Bal Sheet - Standardized!R40C22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0" s="3"/>
      </tp>
      <tp>
        <v>116038</v>
        <stp/>
        <stp>##V3_BDHV12</stp>
        <stp>XOM US Equity</stp>
        <stp>BS_TOT_LIAB2</stp>
        <stp>FQ4 2007</stp>
        <stp>FQ4 2007</stp>
        <stp>[FA1_ivyerigx.xlsx]Bal Sheet - Standardized!R40C40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0" s="3"/>
      </tp>
      <tp>
        <v>87454</v>
        <stp/>
        <stp>##V3_BDHV12</stp>
        <stp>XOM US Equity</stp>
        <stp>BS_TOT_LIAB2</stp>
        <stp>FQ2 2004</stp>
        <stp>FQ2 2004</stp>
        <stp>[FA1_ivyerigx.xlsx]Bal Sheet - Standardized!R40C26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0" s="3"/>
      </tp>
      <tp>
        <v>107354</v>
        <stp/>
        <stp>##V3_BDHV12</stp>
        <stp>XOM US Equity</stp>
        <stp>BS_TOT_LIAB2</stp>
        <stp>FQ3 2006</stp>
        <stp>FQ3 2006</stp>
        <stp>[FA1_ivyerigx.xlsx]Bal Sheet - Standardized!R40C35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0" s="3"/>
      </tp>
      <tp>
        <v>101831</v>
        <stp/>
        <stp>##V3_BDHV12</stp>
        <stp>XOM US Equity</stp>
        <stp>BS_TOT_LIAB2</stp>
        <stp>FQ3 2005</stp>
        <stp>FQ3 2005</stp>
        <stp>[FA1_ivyerigx.xlsx]Bal Sheet - Standardized!R40C31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0" s="3"/>
      </tp>
      <tp>
        <v>69670</v>
        <stp/>
        <stp>##V3_BDHV12</stp>
        <stp>XOM US Equity</stp>
        <stp>BS_TOT_LIAB2</stp>
        <stp>FQ1 2002</stp>
        <stp>FQ1 2002</stp>
        <stp>[FA1_ivyerigx.xlsx]Bal Sheet - Standardized!R40C17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0" s="3"/>
      </tp>
      <tp>
        <v>69314</v>
        <stp/>
        <stp>##V3_BDHV12</stp>
        <stp>XOM US Equity</stp>
        <stp>IS_COGS_TO_FE_AND_PP_AND_G</stp>
        <stp>FQ3 2006</stp>
        <stp>FQ3 2006</stp>
        <stp>[FA1_ivyerigx.xlsx]Income - Adjusted!R7C35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7" s="2"/>
      </tp>
      <tp>
        <v>68526</v>
        <stp/>
        <stp>##V3_BDHV12</stp>
        <stp>XOM US Equity</stp>
        <stp>IS_COGS_TO_FE_AND_PP_AND_G</stp>
        <stp>FQ2 2006</stp>
        <stp>FQ2 2006</stp>
        <stp>[FA1_ivyerigx.xlsx]Income - Adjusted!R7C34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7" s="2"/>
      </tp>
      <tp>
        <v>38441</v>
        <stp/>
        <stp>##V3_BDHV12</stp>
        <stp>XOM US Equity</stp>
        <stp>IS_COGS_TO_FE_AND_PP_AND_G</stp>
        <stp>FQ1 2004</stp>
        <stp>FQ1 2004</stp>
        <stp>[FA1_ivyerigx.xlsx]Income - Adjusted!R7C25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7" s="2"/>
      </tp>
      <tp>
        <v>41018</v>
        <stp/>
        <stp>##V3_BDHV12</stp>
        <stp>XOM US Equity</stp>
        <stp>IS_COGS_TO_FE_AND_PP_AND_G</stp>
        <stp>FQ2 2004</stp>
        <stp>FQ2 2004</stp>
        <stp>[FA1_ivyerigx.xlsx]Income - Adjusted!R7C26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7" s="2"/>
      </tp>
      <tp>
        <v>45199</v>
        <stp/>
        <stp>##V3_BDHV12</stp>
        <stp>XOM US Equity</stp>
        <stp>IS_COGS_TO_FE_AND_PP_AND_G</stp>
        <stp>FQ3 2004</stp>
        <stp>FQ3 2004</stp>
        <stp>[FA1_ivyerigx.xlsx]Income - Adjusted!R7C27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7" s="2"/>
      </tp>
      <tp>
        <v>118058</v>
        <stp/>
        <stp>##V3_BDHV12</stp>
        <stp>XOM US Equity</stp>
        <stp>BS_TOT_LIAB2</stp>
        <stp>FQ3 2007</stp>
        <stp>FQ3 2007</stp>
        <stp>[FA1_ivyerigx.xlsx]Bal Sheet - Standardized!R40C39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0" s="3"/>
      </tp>
      <tp>
        <v>6700</v>
        <stp/>
        <stp>##V3_BDHV12</stp>
        <stp>XOM US Equity</stp>
        <stp>BS_SH_OUT</stp>
        <stp>FQ4 2002</stp>
        <stp>FQ4 2002</stp>
        <stp>[FA1_ivyerigx.xlsx]Per Share!R6C20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5"/>
      </tp>
      <tp>
        <v>6930</v>
        <stp/>
        <stp>##V3_BDHV12</stp>
        <stp>XOM US Equity</stp>
        <stp>BS_SH_OUT</stp>
        <stp>FQ4 2000</stp>
        <stp>FQ4 2000</stp>
        <stp>[FA1_ivyerigx.xlsx]Per Share!R6C12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5"/>
      </tp>
      <tp>
        <v>0</v>
        <stp/>
        <stp>##V3_BDHV12</stp>
        <stp>XOM US Equity</stp>
        <stp>OTHER_NONCURRENT_ASSETS_DETAILED</stp>
        <stp>FQ3 2001</stp>
        <stp>FQ3 2001</stp>
        <stp>[FA1_ivyerigx.xlsx]Bal Sheet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3"/>
      </tp>
      <tp>
        <v>0</v>
        <stp/>
        <stp>##V3_BDHV12</stp>
        <stp>XOM US Equity</stp>
        <stp>OTHER_NONCURRENT_ASSETS_DETAILED</stp>
        <stp>FQ1 2006</stp>
        <stp>FQ1 2006</stp>
        <stp>[FA1_ivyerigx.xlsx]Bal Sheet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3"/>
      </tp>
      <tp>
        <v>-400</v>
        <stp/>
        <stp>##V3_BDHV12</stp>
        <stp>XOM US Equity</stp>
        <stp>XO_GL_NET_OF_TAX</stp>
        <stp>FQ4 2002</stp>
        <stp>FQ4 2002</stp>
        <stp>[FA1_ivyerigx.xlsx]Income - Adjusted!R21C20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2"/>
      </tp>
      <tp>
        <v>0</v>
        <stp/>
        <stp>##V3_BDHV12</stp>
        <stp>XOM US Equity</stp>
        <stp>XO_GL_NET_OF_TAX</stp>
        <stp>FQ2 2004</stp>
        <stp>FQ2 2004</stp>
        <stp>[FA1_ivyerigx.xlsx]Income - Adjusted!R21C26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2"/>
      </tp>
      <tp>
        <v>-922</v>
        <stp/>
        <stp>##V3_BDHV12</stp>
        <stp>XOM US Equity</stp>
        <stp>CF_NET_CHNG_CASH</stp>
        <stp>FQ2 2002</stp>
        <stp>FQ2 2002</stp>
        <stp>[FA1_ivyerigx.xlsx]Cash Flow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4"/>
      </tp>
      <tp>
        <v>-400</v>
        <stp/>
        <stp>##V3_BDHV12</stp>
        <stp>XOM US Equity</stp>
        <stp>XO_GL_NET_OF_TAX</stp>
        <stp>FQ4 2002</stp>
        <stp>FQ4 2002</stp>
        <stp>[FA1_ivyerigx.xlsx]Income - Adjusted!R31C20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2"/>
      </tp>
      <tp>
        <v>0</v>
        <stp/>
        <stp>##V3_BDHV12</stp>
        <stp>XOM US Equity</stp>
        <stp>XO_GL_NET_OF_TAX</stp>
        <stp>FQ2 2004</stp>
        <stp>FQ2 2004</stp>
        <stp>[FA1_ivyerigx.xlsx]Income - Adjusted!R31C26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2"/>
      </tp>
      <tp>
        <v>0</v>
        <stp/>
        <stp>##V3_BDHV12</stp>
        <stp>XOM US Equity</stp>
        <stp>OTHER_NONCURRENT_ASSETS_DETAILED</stp>
        <stp>FQ3 2000</stp>
        <stp>FQ3 2000</stp>
        <stp>[FA1_ivyerigx.xlsx]Bal Sheet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3"/>
      </tp>
      <tp t="s">
        <v>—</v>
        <stp/>
        <stp>##V3_BDHV12</stp>
        <stp>XOM US Equity</stp>
        <stp>XO_GL_NET_OF_TAX</stp>
        <stp>FQ1 2006</stp>
        <stp>FQ1 2006</stp>
        <stp>[FA1_ivyerigx.xlsx]Income - Adjusted!R31C33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2"/>
      </tp>
      <tp>
        <v>0</v>
        <stp/>
        <stp>##V3_BDHV12</stp>
        <stp>XOM US Equity</stp>
        <stp>XO_GL_NET_OF_TAX</stp>
        <stp>FQ2 2005</stp>
        <stp>FQ2 2005</stp>
        <stp>[FA1_ivyerigx.xlsx]Income - Adjusted!R31C30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2"/>
      </tp>
      <tp t="s">
        <v>—</v>
        <stp/>
        <stp>##V3_BDHV12</stp>
        <stp>XOM US Equity</stp>
        <stp>XO_GL_NET_OF_TAX</stp>
        <stp>FQ1 2006</stp>
        <stp>FQ1 2006</stp>
        <stp>[FA1_ivyerigx.xlsx]Income - Adjusted!R21C33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2"/>
      </tp>
      <tp>
        <v>0</v>
        <stp/>
        <stp>##V3_BDHV12</stp>
        <stp>XOM US Equity</stp>
        <stp>XO_GL_NET_OF_TAX</stp>
        <stp>FQ2 2005</stp>
        <stp>FQ2 2005</stp>
        <stp>[FA1_ivyerigx.xlsx]Income - Adjusted!R21C30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2"/>
      </tp>
      <tp>
        <v>0</v>
        <stp/>
        <stp>##V3_BDHV12</stp>
        <stp>XOM US Equity</stp>
        <stp>XO_GL_NET_OF_TAX</stp>
        <stp>FQ4 2001</stp>
        <stp>FQ4 2001</stp>
        <stp>[FA1_ivyerigx.xlsx]Income - Adjusted!R31C16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2"/>
      </tp>
      <tp>
        <v>0</v>
        <stp/>
        <stp>##V3_BDHV12</stp>
        <stp>XOM US Equity</stp>
        <stp>OTHER_NONCURRENT_ASSETS_DETAILED</stp>
        <stp>FQ1 2007</stp>
        <stp>FQ1 2007</stp>
        <stp>[FA1_ivyerigx.xlsx]Bal Sheet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3"/>
      </tp>
      <tp>
        <v>0</v>
        <stp/>
        <stp>##V3_BDHV12</stp>
        <stp>XOM US Equity</stp>
        <stp>XO_GL_NET_OF_TAX</stp>
        <stp>FQ4 2001</stp>
        <stp>FQ4 2001</stp>
        <stp>[FA1_ivyerigx.xlsx]Income - Adjusted!R21C16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2"/>
      </tp>
      <tp>
        <v>6634</v>
        <stp/>
        <stp>##V3_BDHV12</stp>
        <stp>XOM US Equity</stp>
        <stp>CF_NET_CHNG_CASH</stp>
        <stp>FQ1 2005</stp>
        <stp>FQ1 2005</stp>
        <stp>[FA1_ivyerigx.xlsx]Cash Flow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4"/>
      </tp>
      <tp>
        <v>2885</v>
        <stp/>
        <stp>##V3_BDHV12</stp>
        <stp>XOM US Equity</stp>
        <stp>CF_NET_CHNG_CASH</stp>
        <stp>FQ2 2000</stp>
        <stp>FQ2 2000</stp>
        <stp>[FA1_ivyerigx.xlsx]Cash Flow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4"/>
      </tp>
      <tp>
        <v>5099</v>
        <stp/>
        <stp>##V3_BDHV12</stp>
        <stp>XOM US Equity</stp>
        <stp>CF_NET_CHNG_CASH</stp>
        <stp>FQ1 2003</stp>
        <stp>FQ1 2003</stp>
        <stp>[FA1_ivyerigx.xlsx]Cash Flow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4"/>
      </tp>
      <tp>
        <v>5268</v>
        <stp/>
        <stp>##V3_BDHV12</stp>
        <stp>XOM US Equity</stp>
        <stp>CF_NET_CHNG_CASH</stp>
        <stp>FQ1 2004</stp>
        <stp>FQ1 2004</stp>
        <stp>[FA1_ivyerigx.xlsx]Cash Flow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4"/>
      </tp>
      <tp>
        <v>-1608</v>
        <stp/>
        <stp>##V3_BDHV12</stp>
        <stp>XOM US Equity</stp>
        <stp>CF_NET_CHNG_CASH</stp>
        <stp>FQ2 2001</stp>
        <stp>FQ2 2001</stp>
        <stp>[FA1_ivyerigx.xlsx]Cash Flow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4"/>
      </tp>
      <tp>
        <v>0</v>
        <stp/>
        <stp>##V3_BDHV12</stp>
        <stp>XOM US Equity</stp>
        <stp>OTHER_NONCURRENT_ASSETS_DETAILED</stp>
        <stp>FQ3 2002</stp>
        <stp>FQ3 2002</stp>
        <stp>[FA1_ivyerigx.xlsx]Bal Sheet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3"/>
      </tp>
      <tp>
        <v>11.4336</v>
        <stp/>
        <stp>##V3_BDHV12</stp>
        <stp>XOM US Equity</stp>
        <stp>EBITDA_MARGIN</stp>
        <stp>FQ4 1999</stp>
        <stp>FQ4 1999</stp>
        <stp>[FA1_ivyerigx.xlsx]Cash Flow - Standardized!R43C8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43" s="4"/>
      </tp>
      <tp>
        <v>41247</v>
        <stp/>
        <stp>##V3_BDHV12</stp>
        <stp>XOM US Equity</stp>
        <stp>ACCT_PAYABLE_&amp;_ACCRUALS_DETAILED</stp>
        <stp>FQ2 2007</stp>
        <stp>FQ2 2007</stp>
        <stp>[FA1_ivyerigx.xlsx]Bal Sheet - Standardized!R30C38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3"/>
      </tp>
      <tp>
        <v>36185</v>
        <stp/>
        <stp>##V3_BDHV12</stp>
        <stp>XOM US Equity</stp>
        <stp>ACCT_PAYABLE_&amp;_ACCRUALS_DETAILED</stp>
        <stp>FQ2 2005</stp>
        <stp>FQ2 2005</stp>
        <stp>[FA1_ivyerigx.xlsx]Bal Sheet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3"/>
      </tp>
      <tp>
        <v>27731</v>
        <stp/>
        <stp>##V3_BDHV12</stp>
        <stp>XOM US Equity</stp>
        <stp>ACCT_PAYABLE_&amp;_ACCRUALS_DETAILED</stp>
        <stp>FQ3 2003</stp>
        <stp>FQ3 2003</stp>
        <stp>[FA1_ivyerigx.xlsx]Bal Sheet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3"/>
      </tp>
      <tp>
        <v>39302</v>
        <stp/>
        <stp>##V3_BDHV12</stp>
        <stp>XOM US Equity</stp>
        <stp>ACCT_PAYABLE_&amp;_ACCRUALS_DETAILED</stp>
        <stp>FQ2 2006</stp>
        <stp>FQ2 2006</stp>
        <stp>[FA1_ivyerigx.xlsx]Bal Sheet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3"/>
      </tp>
      <tp>
        <v>32107</v>
        <stp/>
        <stp>##V3_BDHV12</stp>
        <stp>XOM US Equity</stp>
        <stp>ACCT_PAYABLE_&amp;_ACCRUALS_DETAILED</stp>
        <stp>FQ3 2004</stp>
        <stp>FQ3 2004</stp>
        <stp>[FA1_ivyerigx.xlsx]Bal Sheet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3"/>
      </tp>
      <tp>
        <v>13670</v>
        <stp/>
        <stp>##V3_BDHV12</stp>
        <stp>XOM US Equity</stp>
        <stp>BS_ACCT_PAYABLE</stp>
        <stp>FQ1 1999</stp>
        <stp>FQ1 1999</stp>
        <stp>[FA1_ivyerigx.xlsx]Bal Sheet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3"/>
      </tp>
      <tp>
        <v>15410</v>
        <stp/>
        <stp>##V3_BDHV12</stp>
        <stp>XOM US Equity</stp>
        <stp>BS_ACCT_PAYABLE</stp>
        <stp>FQ3 1999</stp>
        <stp>FQ3 1999</stp>
        <stp>[FA1_ivyerigx.xlsx]Bal Sheet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3"/>
      </tp>
      <tp>
        <v>13734</v>
        <stp/>
        <stp>##V3_BDHV12</stp>
        <stp>XOM US Equity</stp>
        <stp>BS_ACCT_PAYABLE</stp>
        <stp>FQ2 1999</stp>
        <stp>FQ2 1999</stp>
        <stp>[FA1_ivyerigx.xlsx]Bal Sheet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3"/>
      </tp>
      <tp>
        <v>14269</v>
        <stp/>
        <stp>##V3_BDHV12</stp>
        <stp>XOM US Equity</stp>
        <stp>BS_ACCT_PAYABLE</stp>
        <stp>FQ3 1998</stp>
        <stp>FQ3 1998</stp>
        <stp>[FA1_ivyerigx.xlsx]Bal Sheet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3"/>
      </tp>
      <tp>
        <v>7369</v>
        <stp/>
        <stp>##V3_BDHV12</stp>
        <stp>XOM US Equity</stp>
        <stp>BS_ACCT_PAYABLE</stp>
        <stp>FQ4 1998</stp>
        <stp>FQ4 1998</stp>
        <stp>[FA1_ivyerigx.xlsx]Bal Sheet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3"/>
      </tp>
      <tp>
        <v>13524</v>
        <stp/>
        <stp>##V3_BDHV12</stp>
        <stp>XOM US Equity</stp>
        <stp>BS_ACCT_PAYABLE</stp>
        <stp>FQ4 1999</stp>
        <stp>FQ4 1999</stp>
        <stp>[FA1_ivyerigx.xlsx]Bal Sheet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3"/>
      </tp>
      <tp>
        <v>0.86990000000000001</v>
        <stp/>
        <stp>##V3_BDHV12</stp>
        <stp>XOM US Equity</stp>
        <stp>CUR_RATIO</stp>
        <stp>FQ1 2000</stp>
        <stp>FQ1 2000</stp>
        <stp>[FA1_ivyerigx.xlsx]Bal Sheet - Standardized!R63C9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3" s="3"/>
      </tp>
      <tp>
        <v>1.3820000000000001</v>
        <stp/>
        <stp>##V3_BDHV12</stp>
        <stp>XOM US Equity</stp>
        <stp>CASH_FLOW_TO_NET_INC</stp>
        <stp>FQ3 2006</stp>
        <stp>FQ3 2006</stp>
        <stp>[FA1_ivyerigx.xlsx]Cash Flow - Standardized!R51C35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51" s="4"/>
      </tp>
      <tp>
        <v>1.0903</v>
        <stp/>
        <stp>##V3_BDHV12</stp>
        <stp>XOM US Equity</stp>
        <stp>CASH_FLOW_TO_NET_INC</stp>
        <stp>FQ2 2006</stp>
        <stp>FQ2 2006</stp>
        <stp>[FA1_ivyerigx.xlsx]Cash Flow - Standardized!R51C34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51" s="4"/>
      </tp>
      <tp>
        <v>1.7418</v>
        <stp/>
        <stp>##V3_BDHV12</stp>
        <stp>XOM US Equity</stp>
        <stp>CASH_FLOW_TO_NET_INC</stp>
        <stp>FQ1 2006</stp>
        <stp>FQ1 2006</stp>
        <stp>[FA1_ivyerigx.xlsx]Cash Flow - Standardized!R51C33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51" s="4"/>
      </tp>
      <tp>
        <v>0.86460000000000004</v>
        <stp/>
        <stp>##V3_BDHV12</stp>
        <stp>XOM US Equity</stp>
        <stp>CASH_FLOW_TO_NET_INC</stp>
        <stp>FQ4 2006</stp>
        <stp>FQ4 2006</stp>
        <stp>[FA1_ivyerigx.xlsx]Cash Flow - Standardized!R51C36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51" s="4"/>
      </tp>
      <tp>
        <v>6962.2520000000004</v>
        <stp/>
        <stp>##V3_BDHV12</stp>
        <stp>XOM US Equity</stp>
        <stp>BS_SH_OUT</stp>
        <stp>FQ1 2000</stp>
        <stp>FQ1 2000</stp>
        <stp>[FA1_ivyerigx.xlsx]Bal Sheet - Standardized!R53C9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3" s="3"/>
      </tp>
      <tp>
        <v>-7.1012000000000004</v>
        <stp/>
        <stp>##V3_BDHV12</stp>
        <stp>XOM US Equity</stp>
        <stp>CASH_CONVERSION_CYCLE</stp>
        <stp>FQ1 2002</stp>
        <stp>FQ1 2002</stp>
        <stp>[FA1_ivyerigx.xlsx]Bal Sheet - Standardized!R64C17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64" s="3"/>
      </tp>
      <tp>
        <v>-6.8193999999999999</v>
        <stp/>
        <stp>##V3_BDHV12</stp>
        <stp>XOM US Equity</stp>
        <stp>CASH_CONVERSION_CYCLE</stp>
        <stp>FQ2 2002</stp>
        <stp>FQ2 2002</stp>
        <stp>[FA1_ivyerigx.xlsx]Bal Sheet - Standardized!R64C18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64" s="3"/>
      </tp>
      <tp>
        <v>-10.600300000000001</v>
        <stp/>
        <stp>##V3_BDHV12</stp>
        <stp>XOM US Equity</stp>
        <stp>CASH_CONVERSION_CYCLE</stp>
        <stp>FQ3 2002</stp>
        <stp>FQ3 2002</stp>
        <stp>[FA1_ivyerigx.xlsx]Bal Sheet - Standardized!R64C19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64" s="3"/>
      </tp>
      <tp>
        <v>24.566099999999999</v>
        <stp/>
        <stp>##V3_BDHV12</stp>
        <stp>XOM US Equity</stp>
        <stp>CASH_CONVERSION_CYCLE</stp>
        <stp>FQ4 2002</stp>
        <stp>FQ4 2002</stp>
        <stp>[FA1_ivyerigx.xlsx]Bal Sheet - Standardized!R64C20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64" s="3"/>
      </tp>
      <tp>
        <v>1.5806</v>
        <stp/>
        <stp>##V3_BDHV12</stp>
        <stp>XOM US Equity</stp>
        <stp>CASH_ST_INVESTMENTS_PER_SH</stp>
        <stp>FQ1 2001</stp>
        <stp>FQ1 2001</stp>
        <stp>[FA1_ivyerigx.xlsx]Per Share!R25C13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5" s="5"/>
      </tp>
      <tp>
        <v>1.8456999999999999</v>
        <stp/>
        <stp>##V3_BDHV12</stp>
        <stp>XOM US Equity</stp>
        <stp>CASH_ST_INVESTMENTS_PER_SH</stp>
        <stp>FQ1 2003</stp>
        <stp>FQ1 2003</stp>
        <stp>[FA1_ivyerigx.xlsx]Per Share!R25C21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5" s="5"/>
      </tp>
      <tp>
        <v>5.4016999999999999</v>
        <stp/>
        <stp>##V3_BDHV12</stp>
        <stp>XOM US Equity</stp>
        <stp>CASH_ST_INVESTMENTS_PER_SH</stp>
        <stp>FQ2 2006</stp>
        <stp>FQ2 2006</stp>
        <stp>[FA1_ivyerigx.xlsx]Per Share!R25C34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5" s="5"/>
      </tp>
      <tp>
        <v>2.1791999999999998</v>
        <stp/>
        <stp>##V3_BDHV12</stp>
        <stp>XOM US Equity</stp>
        <stp>CASH_ST_INVESTMENTS_PER_SH</stp>
        <stp>FQ2 2004</stp>
        <stp>FQ2 2004</stp>
        <stp>[FA1_ivyerigx.xlsx]Per Share!R25C26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5" s="5"/>
      </tp>
      <tp>
        <v>1.0218</v>
        <stp/>
        <stp>##V3_BDHV12</stp>
        <stp>XOM US Equity</stp>
        <stp>CASH_ST_INVESTMENTS_PER_SH</stp>
        <stp>FQ4 2000</stp>
        <stp>FQ4 2000</stp>
        <stp>[FA1_ivyerigx.xlsx]Per Share!R25C12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5" s="5"/>
      </tp>
      <tp>
        <v>1.079</v>
        <stp/>
        <stp>##V3_BDHV12</stp>
        <stp>XOM US Equity</stp>
        <stp>CASH_ST_INVESTMENTS_PER_SH</stp>
        <stp>FQ4 2002</stp>
        <stp>FQ4 2002</stp>
        <stp>[FA1_ivyerigx.xlsx]Per Share!R25C20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5" s="5"/>
      </tp>
      <tp>
        <v>83223</v>
        <stp/>
        <stp>##V3_BDHV12</stp>
        <stp>XOM US Equity</stp>
        <stp>BS_TOT_LIAB2</stp>
        <stp>FQ3 2003</stp>
        <stp>FQ3 2003</stp>
        <stp>[FA1_ivyerigx.xlsx]Bal Sheet - Standardized!R40C23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0" s="3"/>
      </tp>
      <tp>
        <v>91991</v>
        <stp/>
        <stp>##V3_BDHV12</stp>
        <stp>XOM US Equity</stp>
        <stp>BS_TOT_LIAB2</stp>
        <stp>FQ3 2004</stp>
        <stp>FQ3 2004</stp>
        <stp>[FA1_ivyerigx.xlsx]Bal Sheet - Standardized!R40C27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0" s="3"/>
      </tp>
      <tp>
        <v>105246</v>
        <stp/>
        <stp>##V3_BDHV12</stp>
        <stp>XOM US Equity</stp>
        <stp>BS_TOT_LIAB2</stp>
        <stp>FQ2 2006</stp>
        <stp>FQ2 2006</stp>
        <stp>[FA1_ivyerigx.xlsx]Bal Sheet - Standardized!R40C34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0" s="3"/>
      </tp>
      <tp>
        <v>97220</v>
        <stp/>
        <stp>##V3_BDHV12</stp>
        <stp>XOM US Equity</stp>
        <stp>BS_TOT_LIAB2</stp>
        <stp>FQ2 2005</stp>
        <stp>FQ2 2005</stp>
        <stp>[FA1_ivyerigx.xlsx]Bal Sheet - Standardized!R40C30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0" s="3"/>
      </tp>
      <tp>
        <v>59858</v>
        <stp/>
        <stp>##V3_BDHV12</stp>
        <stp>XOM US Equity</stp>
        <stp>IS_COGS_TO_FE_AND_PP_AND_G</stp>
        <stp>FQ1 2007</stp>
        <stp>FQ1 2007</stp>
        <stp>[FA1_ivyerigx.xlsx]Income - Adjusted!R7C37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7" s="2"/>
      </tp>
      <tp>
        <v>111965</v>
        <stp/>
        <stp>##V3_BDHV12</stp>
        <stp>XOM US Equity</stp>
        <stp>BS_TOT_LIAB2</stp>
        <stp>FQ2 2007</stp>
        <stp>FQ2 2007</stp>
        <stp>[FA1_ivyerigx.xlsx]Bal Sheet - Standardized!R40C38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0" s="3"/>
      </tp>
      <tp>
        <v>77367</v>
        <stp/>
        <stp>##V3_BDHV12</stp>
        <stp>XOM US Equity</stp>
        <stp>BS_TOT_LIAB2</stp>
        <stp>FQ4 1999</stp>
        <stp>FQ4 1999</stp>
        <stp>[FA1_ivyerigx.xlsx]Bal Sheet - Standardized!R40C8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0" s="3"/>
      </tp>
      <tp>
        <v>51468</v>
        <stp/>
        <stp>##V3_BDHV12</stp>
        <stp>XOM US Equity</stp>
        <stp>BS_TOT_LIAB2</stp>
        <stp>FQ3 1998</stp>
        <stp>FQ3 1998</stp>
        <stp>[FA1_ivyerigx.xlsx]Bal Sheet - Standardized!R40C3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47073</v>
        <stp/>
        <stp>##V3_BDHV12</stp>
        <stp>XOM US Equity</stp>
        <stp>BS_TOT_LIAB2</stp>
        <stp>FQ4 1998</stp>
        <stp>FQ4 1998</stp>
        <stp>[FA1_ivyerigx.xlsx]Bal Sheet - Standardized!R40C4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0" s="3"/>
      </tp>
      <tp>
        <v>0.28999999999999998</v>
        <stp/>
        <stp>##V3_BDHV12</stp>
        <stp>XOM US Equity</stp>
        <stp>IS_DIL_EPS_BEF_XO</stp>
        <stp>FQ3 1998</stp>
        <stp>FQ3 1998</stp>
        <stp>[FA1_ivyerigx.xlsx]Per Share!R18C3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8" s="5"/>
      </tp>
      <tp>
        <v>0.31</v>
        <stp/>
        <stp>##V3_BDHV12</stp>
        <stp>XOM US Equity</stp>
        <stp>IS_DIL_EPS_BEF_XO</stp>
        <stp>FQ4 1998</stp>
        <stp>FQ4 1998</stp>
        <stp>[FA1_ivyerigx.xlsx]Per Share!R18C4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8" s="5"/>
      </tp>
      <tp>
        <v>50560</v>
        <stp/>
        <stp>##V3_BDHV12</stp>
        <stp>XOM US Equity</stp>
        <stp>BS_TOT_LIAB2</stp>
        <stp>FQ3 1999</stp>
        <stp>FQ3 1999</stp>
        <stp>[FA1_ivyerigx.xlsx]Bal Sheet - Standardized!R40C7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0" s="3"/>
      </tp>
      <tp>
        <v>48406</v>
        <stp/>
        <stp>##V3_BDHV12</stp>
        <stp>XOM US Equity</stp>
        <stp>BS_TOT_LIAB2</stp>
        <stp>FQ2 1999</stp>
        <stp>FQ2 1999</stp>
        <stp>[FA1_ivyerigx.xlsx]Bal Sheet - Standardized!R40C6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0" s="3"/>
      </tp>
      <tp>
        <v>47729</v>
        <stp/>
        <stp>##V3_BDHV12</stp>
        <stp>XOM US Equity</stp>
        <stp>BS_TOT_LIAB2</stp>
        <stp>FQ1 1999</stp>
        <stp>FQ1 1999</stp>
        <stp>[FA1_ivyerigx.xlsx]Bal Sheet - Standardized!R40C5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0" s="3"/>
      </tp>
      <tp>
        <v>6222.3957</v>
        <stp/>
        <stp>##V3_BDHV12</stp>
        <stp>XOM US Equity</stp>
        <stp>BS_SH_OUT</stp>
        <stp>FQ3 2005</stp>
        <stp>FQ3 2005</stp>
        <stp>[FA1_ivyerigx.xlsx]Per Share!R6C31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5"/>
      </tp>
      <tp>
        <v>6305.1315999999997</v>
        <stp/>
        <stp>##V3_BDHV12</stp>
        <stp>XOM US Equity</stp>
        <stp>BS_SH_OUT</stp>
        <stp>FQ2 2005</stp>
        <stp>FQ2 2005</stp>
        <stp>[FA1_ivyerigx.xlsx]Per Share!R6C30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5"/>
      </tp>
      <tp>
        <v>6840</v>
        <stp/>
        <stp>##V3_BDHV12</stp>
        <stp>XOM US Equity</stp>
        <stp>BS_SH_OUT</stp>
        <stp>FQ3 2001</stp>
        <stp>FQ3 2001</stp>
        <stp>[FA1_ivyerigx.xlsx]Per Share!R6C15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5"/>
      </tp>
      <tp>
        <v>6835.0789999999997</v>
        <stp/>
        <stp>##V3_BDHV12</stp>
        <stp>XOM US Equity</stp>
        <stp>BS_SH_OUT</stp>
        <stp>FQ2 2001</stp>
        <stp>FQ2 2001</stp>
        <stp>[FA1_ivyerigx.xlsx]Per Share!R6C14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5"/>
      </tp>
      <tp>
        <v>6314</v>
        <stp/>
        <stp>##V3_BDHV12</stp>
        <stp>XOM US Equity</stp>
        <stp>BS_OTHER_ASSETS_DEF_CHRG_OTHER</stp>
        <stp>FQ4 2006</stp>
        <stp>FQ4 2006</stp>
        <stp>[FA1_ivyerigx.xlsx]Bal Sheet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3"/>
      </tp>
      <tp>
        <v>32703</v>
        <stp/>
        <stp>##V3_BDHV12</stp>
        <stp>XOM US Equity</stp>
        <stp>NON_CUR_LIAB</stp>
        <stp>FQ3 1998</stp>
        <stp>FQ3 1998</stp>
        <stp>[FA1_ivyerigx.xlsx]Bal Sheet - Standardized!R39C3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27661</v>
        <stp/>
        <stp>##V3_BDHV12</stp>
        <stp>XOM US Equity</stp>
        <stp>NON_CUR_LIAB</stp>
        <stp>FQ4 1998</stp>
        <stp>FQ4 1998</stp>
        <stp>[FA1_ivyerigx.xlsx]Bal Sheet - Standardized!R39C4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9" s="3"/>
      </tp>
      <tp>
        <v>25087</v>
        <stp/>
        <stp>##V3_BDHV12</stp>
        <stp>XOM US Equity</stp>
        <stp>BS_OTHER_ASSETS_DEF_CHRG_OTHER</stp>
        <stp>FQ4 2005</stp>
        <stp>FQ4 2005</stp>
        <stp>[FA1_ivyerigx.xlsx]Bal Sheet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3"/>
      </tp>
      <tp>
        <v>28857</v>
        <stp/>
        <stp>##V3_BDHV12</stp>
        <stp>XOM US Equity</stp>
        <stp>NON_CUR_LIAB</stp>
        <stp>FQ1 1999</stp>
        <stp>FQ1 1999</stp>
        <stp>[FA1_ivyerigx.xlsx]Bal Sheet - Standardized!R39C5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9" s="3"/>
      </tp>
      <tp>
        <v>28981</v>
        <stp/>
        <stp>##V3_BDHV12</stp>
        <stp>XOM US Equity</stp>
        <stp>NON_CUR_LIAB</stp>
        <stp>FQ3 1999</stp>
        <stp>FQ3 1999</stp>
        <stp>[FA1_ivyerigx.xlsx]Bal Sheet - Standardized!R39C7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9" s="3"/>
      </tp>
      <tp>
        <v>28696</v>
        <stp/>
        <stp>##V3_BDHV12</stp>
        <stp>XOM US Equity</stp>
        <stp>NON_CUR_LIAB</stp>
        <stp>FQ2 1999</stp>
        <stp>FQ2 1999</stp>
        <stp>[FA1_ivyerigx.xlsx]Bal Sheet - Standardized!R39C6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9" s="3"/>
      </tp>
      <tp>
        <v>38634</v>
        <stp/>
        <stp>##V3_BDHV12</stp>
        <stp>XOM US Equity</stp>
        <stp>NON_CUR_LIAB</stp>
        <stp>FQ4 1999</stp>
        <stp>FQ4 1999</stp>
        <stp>[FA1_ivyerigx.xlsx]Bal Sheet - Standardized!R39C8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9" s="3"/>
      </tp>
      <tp>
        <v>8321</v>
        <stp/>
        <stp>##V3_BDHV12</stp>
        <stp>XOM US Equity</stp>
        <stp>BS_INVENTORIES</stp>
        <stp>FQ1 2002</stp>
        <stp>FQ1 2002</stp>
        <stp>[FA1_ivyerigx.xlsx]Bal Sheet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3"/>
      </tp>
      <tp>
        <v>10976</v>
        <stp/>
        <stp>##V3_BDHV12</stp>
        <stp>XOM US Equity</stp>
        <stp>BS_INVENTORIES</stp>
        <stp>FQ3 2005</stp>
        <stp>FQ3 2005</stp>
        <stp>[FA1_ivyerigx.xlsx]Bal Sheet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3"/>
      </tp>
      <tp>
        <v>9958</v>
        <stp/>
        <stp>##V3_BDHV12</stp>
        <stp>XOM US Equity</stp>
        <stp>BS_INVENTORIES</stp>
        <stp>FQ2 2004</stp>
        <stp>FQ2 2004</stp>
        <stp>[FA1_ivyerigx.xlsx]Bal Sheet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3"/>
      </tp>
      <tp>
        <v>12528</v>
        <stp/>
        <stp>##V3_BDHV12</stp>
        <stp>XOM US Equity</stp>
        <stp>BS_INVENTORIES</stp>
        <stp>FQ3 2006</stp>
        <stp>FQ3 2006</stp>
        <stp>[FA1_ivyerigx.xlsx]Bal Sheet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3"/>
      </tp>
      <tp t="s">
        <v>—</v>
        <stp/>
        <stp>##V3_BDHV12</stp>
        <stp>XOM US Equity</stp>
        <stp>BS_FUTURE_MIN_OPER_LEASE_OBLIG</stp>
        <stp>FQ1 2008</stp>
        <stp>FQ1 2008</stp>
        <stp>[FA1_ivyerigx.xlsx]Bal Sheet - Standardized!R56C41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6" s="3"/>
      </tp>
      <tp>
        <v>11089</v>
        <stp/>
        <stp>##V3_BDHV12</stp>
        <stp>XOM US Equity</stp>
        <stp>BS_INVENTORIES</stp>
        <stp>FQ4 2007</stp>
        <stp>FQ4 2007</stp>
        <stp>[FA1_ivyerigx.xlsx]Bal Sheet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3"/>
      </tp>
      <tp>
        <v>8382</v>
        <stp/>
        <stp>##V3_BDHV12</stp>
        <stp>XOM US Equity</stp>
        <stp>BS_INVENTORIES</stp>
        <stp>FQ1 2001</stp>
        <stp>FQ1 2001</stp>
        <stp>[FA1_ivyerigx.xlsx]Bal Sheet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3"/>
      </tp>
      <tp>
        <v>10035</v>
        <stp/>
        <stp>##V3_BDHV12</stp>
        <stp>XOM US Equity</stp>
        <stp>BS_INVENTORIES</stp>
        <stp>FQ2 2003</stp>
        <stp>FQ2 2003</stp>
        <stp>[FA1_ivyerigx.xlsx]Bal Sheet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3"/>
      </tp>
      <tp>
        <v>5301</v>
        <stp/>
        <stp>##V3_BDHV12</stp>
        <stp>XOM US Equity</stp>
        <stp>BS_FUTURE_MIN_OPER_LEASE_OBLIG</stp>
        <stp>FQ4 2000</stp>
        <stp>FQ4 2000</stp>
        <stp>[FA1_ivyerigx.xlsx]Bal Sheet - Standardized!R56C12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6" s="3"/>
      </tp>
      <tp>
        <v>8432</v>
        <stp/>
        <stp>##V3_BDHV12</stp>
        <stp>XOM US Equity</stp>
        <stp>PRETAX_INC</stp>
        <stp>FQ1 2001</stp>
        <stp>FQ1 2001</stp>
        <stp>[FA1_ivyerigx.xlsx]Income - Adjusted!R16C13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6" s="2"/>
      </tp>
      <tp>
        <v>10251</v>
        <stp/>
        <stp>##V3_BDHV12</stp>
        <stp>XOM US Equity</stp>
        <stp>PRETAX_INC</stp>
        <stp>FQ1 2003</stp>
        <stp>FQ1 2003</stp>
        <stp>[FA1_ivyerigx.xlsx]Income - Adjusted!R16C21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6" s="2"/>
      </tp>
      <tp>
        <v>13019</v>
        <stp/>
        <stp>##V3_BDHV12</stp>
        <stp>XOM US Equity</stp>
        <stp>BS_INVENTORIES</stp>
        <stp>FQ3 2007</stp>
        <stp>FQ3 2007</stp>
        <stp>[FA1_ivyerigx.xlsx]Bal Sheet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3"/>
      </tp>
      <tp>
        <v>18457</v>
        <stp/>
        <stp>##V3_BDHV12</stp>
        <stp>XOM US Equity</stp>
        <stp>PRETAX_INC</stp>
        <stp>FQ2 2006</stp>
        <stp>FQ2 2006</stp>
        <stp>[FA1_ivyerigx.xlsx]Income - Adjusted!R16C34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6" s="2"/>
      </tp>
      <tp>
        <v>9622</v>
        <stp/>
        <stp>##V3_BDHV12</stp>
        <stp>XOM US Equity</stp>
        <stp>PRETAX_INC</stp>
        <stp>FQ2 2004</stp>
        <stp>FQ2 2004</stp>
        <stp>[FA1_ivyerigx.xlsx]Income - Adjusted!R16C26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6" s="2"/>
      </tp>
      <tp>
        <v>8805</v>
        <stp/>
        <stp>##V3_BDHV12</stp>
        <stp>XOM US Equity</stp>
        <stp>PRETAX_INC</stp>
        <stp>FQ4 2000</stp>
        <stp>FQ4 2000</stp>
        <stp>[FA1_ivyerigx.xlsx]Income - Adjusted!R16C12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6" s="2"/>
      </tp>
      <tp>
        <v>5506</v>
        <stp/>
        <stp>##V3_BDHV12</stp>
        <stp>XOM US Equity</stp>
        <stp>PRETAX_INC</stp>
        <stp>FQ4 2002</stp>
        <stp>FQ4 2002</stp>
        <stp>[FA1_ivyerigx.xlsx]Income - Adjusted!R16C20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6" s="2"/>
      </tp>
      <tp>
        <v>6378</v>
        <stp/>
        <stp>##V3_BDHV12</stp>
        <stp>XOM US Equity</stp>
        <stp>BS_FUTURE_MIN_OPER_LEASE_OBLIG</stp>
        <stp>FQ4 2001</stp>
        <stp>FQ4 2001</stp>
        <stp>[FA1_ivyerigx.xlsx]Bal Sheet - Standardized!R56C16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6" s="3"/>
      </tp>
      <tp t="s">
        <v>—</v>
        <stp/>
        <stp>##V3_BDHV12</stp>
        <stp>XOM US Equity</stp>
        <stp>IS_FOREIGN_EXCH_LOSS</stp>
        <stp>FQ1 2000</stp>
        <stp>FQ1 2000</stp>
        <stp>[FA1_ivyerigx.xlsx]Income - Adjusted!R15C9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5" s="2"/>
      </tp>
      <tp>
        <v>19419</v>
        <stp/>
        <stp>##V3_BDHV12</stp>
        <stp>XOM US Equity</stp>
        <stp>GROSS_PROFIT</stp>
        <stp>FQ4 2000</stp>
        <stp>FQ4 2000</stp>
        <stp>[FA1_ivyerigx.xlsx]Income - Adjusted!R8C12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8" s="2"/>
      </tp>
      <tp>
        <v>17103</v>
        <stp/>
        <stp>##V3_BDHV12</stp>
        <stp>XOM US Equity</stp>
        <stp>GROSS_PROFIT</stp>
        <stp>FQ4 2002</stp>
        <stp>FQ4 2002</stp>
        <stp>[FA1_ivyerigx.xlsx]Income - Adjusted!R8C20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8" s="2"/>
      </tp>
      <tp t="s">
        <v>—</v>
        <stp/>
        <stp>##V3_BDHV12</stp>
        <stp>XOM US Equity</stp>
        <stp>TCE_RATIO</stp>
        <stp>FQ4 1998</stp>
        <stp>FQ4 1998</stp>
        <stp>[FA1_ivyerigx.xlsx]Bal Sheet - Standardized!R62C4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2" s="3"/>
      </tp>
      <tp t="s">
        <v>—</v>
        <stp/>
        <stp>##V3_BDHV12</stp>
        <stp>XOM US Equity</stp>
        <stp>TCE_RATIO</stp>
        <stp>FQ3 1998</stp>
        <stp>FQ3 1998</stp>
        <stp>[FA1_ivyerigx.xlsx]Bal Sheet - Standardized!R62C3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2" s="3"/>
      </tp>
      <tp>
        <v>97917</v>
        <stp/>
        <stp>##V3_BDHV12</stp>
        <stp>XOM US Equity</stp>
        <stp>BS_ACCUM_DEPR</stp>
        <stp>FQ4 2000</stp>
        <stp>FQ4 2000</stp>
        <stp>[FA1_ivyerigx.xlsx]Bal Sheet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3"/>
      </tp>
      <tp>
        <v>7852</v>
        <stp/>
        <stp>##V3_BDHV12</stp>
        <stp>XOM US Equity</stp>
        <stp>INVTRY_FINISHED_GOODS</stp>
        <stp>FQ4 2005</stp>
        <stp>FQ4 2005</stp>
        <stp>[FA1_ivyerigx.xlsx]Bal Sheet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3"/>
      </tp>
      <tp>
        <v>8979</v>
        <stp/>
        <stp>##V3_BDHV12</stp>
        <stp>XOM US Equity</stp>
        <stp>INVTRY_FINISHED_GOODS</stp>
        <stp>FQ4 2006</stp>
        <stp>FQ4 2006</stp>
        <stp>[FA1_ivyerigx.xlsx]Bal Sheet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3"/>
      </tp>
      <tp>
        <v>5338</v>
        <stp/>
        <stp>##V3_BDHV12</stp>
        <stp>XOM US Equity</stp>
        <stp>PRETAX_INC</stp>
        <stp>FQ1 2000</stp>
        <stp>FQ1 2000</stp>
        <stp>[FA1_ivyerigx.xlsx]Income - Adjusted!R16C9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2"/>
      </tp>
      <tp>
        <v>100901</v>
        <stp/>
        <stp>##V3_BDHV12</stp>
        <stp>XOM US Equity</stp>
        <stp>BS_ACCUM_DEPR</stp>
        <stp>FQ4 2001</stp>
        <stp>FQ4 2001</stp>
        <stp>[FA1_ivyerigx.xlsx]Bal Sheet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3"/>
      </tp>
      <tp t="s">
        <v>—</v>
        <stp/>
        <stp>##V3_BDHV12</stp>
        <stp>XOM US Equity</stp>
        <stp>BS_ACCUM_DEPR</stp>
        <stp>FQ1 2008</stp>
        <stp>FQ1 2008</stp>
        <stp>[FA1_ivyerigx.xlsx]Bal Sheet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3"/>
      </tp>
      <tp t="s">
        <v>—</v>
        <stp/>
        <stp>##V3_BDHV12</stp>
        <stp>XOM US Equity</stp>
        <stp>BS_OPTIONS_GRANTED</stp>
        <stp>FQ1 2000</stp>
        <stp>FQ1 2000</stp>
        <stp>[FA1_ivyerigx.xlsx]Bal Sheet - Standardized!R58C9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8" s="3"/>
      </tp>
      <tp>
        <v>18249</v>
        <stp/>
        <stp>##V3_BDHV12</stp>
        <stp>XOM US Equity</stp>
        <stp>BS_OTHER_ASSETS_DEF_CHRG_OTHER</stp>
        <stp>FQ4 2002</stp>
        <stp>FQ4 2002</stp>
        <stp>[FA1_ivyerigx.xlsx]Bal Sheet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3"/>
      </tp>
      <tp>
        <v>22249</v>
        <stp/>
        <stp>##V3_BDHV12</stp>
        <stp>XOM US Equity</stp>
        <stp>BS_OTHER_ASSETS_DEF_CHRG_OTHER</stp>
        <stp>FQ4 2003</stp>
        <stp>FQ4 2003</stp>
        <stp>[FA1_ivyerigx.xlsx]Bal Sheet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3"/>
      </tp>
      <tp>
        <v>23377</v>
        <stp/>
        <stp>##V3_BDHV12</stp>
        <stp>XOM US Equity</stp>
        <stp>BS_OTHER_ASSETS_DEF_CHRG_OTHER</stp>
        <stp>FQ4 2004</stp>
        <stp>FQ4 2004</stp>
        <stp>[FA1_ivyerigx.xlsx]Bal Sheet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3"/>
      </tp>
      <tp t="s">
        <v>—</v>
        <stp/>
        <stp>##V3_BDHV12</stp>
        <stp>XOM US Equity</stp>
        <stp>BS_OTHER_ASSETS_DEF_CHRG_OTHER</stp>
        <stp>FQ2 2008</stp>
        <stp>FQ2 2008</stp>
        <stp>[FA1_ivyerigx.xlsx]Bal Sheet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3"/>
      </tp>
      <tp>
        <v>4845</v>
        <stp/>
        <stp>##V3_BDHV12</stp>
        <stp>XOM US Equity</stp>
        <stp>IS_INC_TAX_EXP</stp>
        <stp>FQ4 2004</stp>
        <stp>FQ4 2004</stp>
        <stp>[FA1_ivyerigx.xlsx]Income - Adjusted!R19C28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9" s="2"/>
      </tp>
      <tp>
        <v>5043</v>
        <stp/>
        <stp>##V3_BDHV12</stp>
        <stp>XOM US Equity</stp>
        <stp>IS_INC_TAX_EXP</stp>
        <stp>FQ1 2005</stp>
        <stp>FQ1 2005</stp>
        <stp>[FA1_ivyerigx.xlsx]Income - Adjusted!R19C29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9" s="2"/>
      </tp>
      <tp>
        <v>10583</v>
        <stp/>
        <stp>##V3_BDHV12</stp>
        <stp>XOM US Equity</stp>
        <stp>BS_INVENTORIES</stp>
        <stp>FQ2 2005</stp>
        <stp>FQ2 2005</stp>
        <stp>[FA1_ivyerigx.xlsx]Bal Sheet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3"/>
      </tp>
      <tp>
        <v>10079</v>
        <stp/>
        <stp>##V3_BDHV12</stp>
        <stp>XOM US Equity</stp>
        <stp>BS_INVENTORIES</stp>
        <stp>FQ3 2004</stp>
        <stp>FQ3 2004</stp>
        <stp>[FA1_ivyerigx.xlsx]Bal Sheet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3"/>
      </tp>
      <tp>
        <v>11829</v>
        <stp/>
        <stp>##V3_BDHV12</stp>
        <stp>XOM US Equity</stp>
        <stp>BS_INVENTORIES</stp>
        <stp>FQ2 2006</stp>
        <stp>FQ2 2006</stp>
        <stp>[FA1_ivyerigx.xlsx]Bal Sheet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3"/>
      </tp>
      <tp>
        <v>9757</v>
        <stp/>
        <stp>##V3_BDHV12</stp>
        <stp>XOM US Equity</stp>
        <stp>BS_INVENTORIES</stp>
        <stp>FQ3 2003</stp>
        <stp>FQ3 2003</stp>
        <stp>[FA1_ivyerigx.xlsx]Bal Sheet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3"/>
      </tp>
      <tp>
        <v>18470</v>
        <stp/>
        <stp>##V3_BDHV12</stp>
        <stp>XOM US Equity</stp>
        <stp>PRETAX_INC</stp>
        <stp>FQ3 2006</stp>
        <stp>FQ3 2006</stp>
        <stp>[FA1_ivyerigx.xlsx]Income - Adjusted!R16C35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6" s="2"/>
      </tp>
      <tp>
        <v>9733</v>
        <stp/>
        <stp>##V3_BDHV12</stp>
        <stp>XOM US Equity</stp>
        <stp>PRETAX_INC</stp>
        <stp>FQ3 2004</stp>
        <stp>FQ3 2004</stp>
        <stp>[FA1_ivyerigx.xlsx]Income - Adjusted!R16C27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6" s="2"/>
      </tp>
      <tp>
        <v>12895</v>
        <stp/>
        <stp>##V3_BDHV12</stp>
        <stp>XOM US Equity</stp>
        <stp>BS_INVENTORIES</stp>
        <stp>FQ2 2007</stp>
        <stp>FQ2 2007</stp>
        <stp>[FA1_ivyerigx.xlsx]Bal Sheet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3"/>
      </tp>
      <tp>
        <v>17647</v>
        <stp/>
        <stp>##V3_BDHV12</stp>
        <stp>XOM US Equity</stp>
        <stp>GROSS_PROFIT</stp>
        <stp>FQ2 2001</stp>
        <stp>FQ2 2001</stp>
        <stp>[FA1_ivyerigx.xlsx]Income - Adjusted!R8C14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8" s="2"/>
      </tp>
      <tp>
        <v>8119</v>
        <stp/>
        <stp>##V3_BDHV12</stp>
        <stp>XOM US Equity</stp>
        <stp>GROSS_PROFIT</stp>
        <stp>FQ3 2001</stp>
        <stp>FQ3 2001</stp>
        <stp>[FA1_ivyerigx.xlsx]Income - Adjusted!R8C15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8" s="2"/>
      </tp>
      <tp>
        <v>38191</v>
        <stp/>
        <stp>##V3_BDHV12</stp>
        <stp>XOM US Equity</stp>
        <stp>BS_CUR_LIAB</stp>
        <stp>FQ4 2000</stp>
        <stp>FQ4 2000</stp>
        <stp>[FA1_ivyerigx.xlsx]Bal Sheet - Standardized!R35C12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5" s="3"/>
      </tp>
      <tp>
        <v>14978</v>
        <stp/>
        <stp>##V3_BDHV12</stp>
        <stp>XOM US Equity</stp>
        <stp>GROSS_PROFIT</stp>
        <stp>FQ2 2005</stp>
        <stp>FQ2 2005</stp>
        <stp>[FA1_ivyerigx.xlsx]Income - Adjusted!R8C30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8" s="2"/>
      </tp>
      <tp>
        <v>16326</v>
        <stp/>
        <stp>##V3_BDHV12</stp>
        <stp>XOM US Equity</stp>
        <stp>GROSS_PROFIT</stp>
        <stp>FQ3 2005</stp>
        <stp>FQ3 2005</stp>
        <stp>[FA1_ivyerigx.xlsx]Income - Adjusted!R8C31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8" s="2"/>
      </tp>
      <tp>
        <v>30114</v>
        <stp/>
        <stp>##V3_BDHV12</stp>
        <stp>XOM US Equity</stp>
        <stp>BS_CUR_LIAB</stp>
        <stp>FQ4 2001</stp>
        <stp>FQ4 2001</stp>
        <stp>[FA1_ivyerigx.xlsx]Bal Sheet - Standardized!R35C16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5" s="3"/>
      </tp>
      <tp>
        <v>6906</v>
        <stp/>
        <stp>##V3_BDHV12</stp>
        <stp>XOM US Equity</stp>
        <stp>IS_AVG_NUM_SH_FOR_EPS</stp>
        <stp>FQ4 1999</stp>
        <stp>FQ4 1999</stp>
        <stp>[FA1_ivyerigx.xlsx]Income - Adjusted!R33C8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3" s="2"/>
      </tp>
      <tp>
        <v>70983</v>
        <stp/>
        <stp>##V3_BDHV12</stp>
        <stp>XOM US Equity</stp>
        <stp>BS_CUR_LIAB</stp>
        <stp>FQ1 2008</stp>
        <stp>FQ1 2008</stp>
        <stp>[FA1_ivyerigx.xlsx]Bal Sheet - Standardized!R35C41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5" s="3"/>
      </tp>
      <tp>
        <v>30232</v>
        <stp/>
        <stp>##V3_BDHV12</stp>
        <stp>XOM US Equity</stp>
        <stp>OTHER_NONCURRENT_LIABS_DETAILED</stp>
        <stp>FQ4 1999</stp>
        <stp>FQ4 1999</stp>
        <stp>[FA1_ivyerigx.xlsx]Bal Sheet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3"/>
      </tp>
      <tp>
        <v>0.64500000000000002</v>
        <stp/>
        <stp>##V3_BDHV12</stp>
        <stp>XOM US Equity</stp>
        <stp>IS_BASIC_EPS_CONT_OPS</stp>
        <stp>FQ4 1999</stp>
        <stp>FQ4 1999</stp>
        <stp>[FA1_ivyerigx.xlsx]Income - Adjusted!R36C8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6" s="2"/>
      </tp>
      <tp>
        <v>24199</v>
        <stp/>
        <stp>##V3_BDHV12</stp>
        <stp>XOM US Equity</stp>
        <stp>OTHER_NONCURRENT_LIABS_DETAILED</stp>
        <stp>FQ2 1999</stp>
        <stp>FQ2 1999</stp>
        <stp>[FA1_ivyerigx.xlsx]Bal Sheet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3"/>
      </tp>
      <tp>
        <v>24556</v>
        <stp/>
        <stp>##V3_BDHV12</stp>
        <stp>XOM US Equity</stp>
        <stp>OTHER_NONCURRENT_LIABS_DETAILED</stp>
        <stp>FQ3 1999</stp>
        <stp>FQ3 1999</stp>
        <stp>[FA1_ivyerigx.xlsx]Bal Sheet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3"/>
      </tp>
      <tp>
        <v>24294</v>
        <stp/>
        <stp>##V3_BDHV12</stp>
        <stp>XOM US Equity</stp>
        <stp>OTHER_NONCURRENT_LIABS_DETAILED</stp>
        <stp>FQ1 1999</stp>
        <stp>FQ1 1999</stp>
        <stp>[FA1_ivyerigx.xlsx]Bal Sheet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3"/>
      </tp>
      <tp>
        <v>6906</v>
        <stp/>
        <stp>##V3_BDHV12</stp>
        <stp>XOM US Equity</stp>
        <stp>IS_SH_FOR_DILUTED_EPS</stp>
        <stp>FQ4 1999</stp>
        <stp>FQ4 1999</stp>
        <stp>[FA1_ivyerigx.xlsx]Income - Adjusted!R38C8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8" s="2"/>
      </tp>
      <tp>
        <v>23131</v>
        <stp/>
        <stp>##V3_BDHV12</stp>
        <stp>XOM US Equity</stp>
        <stp>OTHER_NONCURRENT_LIABS_DETAILED</stp>
        <stp>FQ4 1998</stp>
        <stp>FQ4 1998</stp>
        <stp>[FA1_ivyerigx.xlsx]Bal Sheet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3"/>
      </tp>
      <tp>
        <v>25791</v>
        <stp/>
        <stp>##V3_BDHV12</stp>
        <stp>XOM US Equity</stp>
        <stp>OTHER_NONCURRENT_LIABS_DETAILED</stp>
        <stp>FQ3 1998</stp>
        <stp>FQ3 1998</stp>
        <stp>[FA1_ivyerigx.xlsx]Bal Sheet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7665</v>
        <stp/>
        <stp>##V3_BDHV12</stp>
        <stp>XOM US Equity</stp>
        <stp>INVTRY_FINISHED_GOODS</stp>
        <stp>FQ4 2003</stp>
        <stp>FQ4 2003</stp>
        <stp>[FA1_ivyerigx.xlsx]Bal Sheet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3"/>
      </tp>
      <tp>
        <v>6827</v>
        <stp/>
        <stp>##V3_BDHV12</stp>
        <stp>XOM US Equity</stp>
        <stp>INVTRY_FINISHED_GOODS</stp>
        <stp>FQ4 2002</stp>
        <stp>FQ4 2002</stp>
        <stp>[FA1_ivyerigx.xlsx]Bal Sheet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3"/>
      </tp>
      <tp>
        <v>13513</v>
        <stp/>
        <stp>##V3_BDHV12</stp>
        <stp>XOM US Equity</stp>
        <stp>INVTRY_FINISHED_GOODS</stp>
        <stp>FQ2 2008</stp>
        <stp>FQ2 2008</stp>
        <stp>[FA1_ivyerigx.xlsx]Bal Sheet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3"/>
      </tp>
      <tp>
        <v>8136</v>
        <stp/>
        <stp>##V3_BDHV12</stp>
        <stp>XOM US Equity</stp>
        <stp>INVTRY_FINISHED_GOODS</stp>
        <stp>FQ4 2004</stp>
        <stp>FQ4 2004</stp>
        <stp>[FA1_ivyerigx.xlsx]Bal Sheet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3"/>
      </tp>
      <tp>
        <v>0</v>
        <stp/>
        <stp>##V3_BDHV12</stp>
        <stp>XOM US Equity</stp>
        <stp>OTHER_ADJUSTMENTS</stp>
        <stp>FQ2 2008</stp>
        <stp>FQ2 2008</stp>
        <stp>[FA1_ivyerigx.xlsx]Income - Adjusted!R26C42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2"/>
      </tp>
      <tp>
        <v>16758</v>
        <stp/>
        <stp>##V3_BDHV12</stp>
        <stp>XOM US Equity</stp>
        <stp>BS_OTHER_ASSETS_DEF_CHRG_OTHER</stp>
        <stp>FQ4 2000</stp>
        <stp>FQ4 2000</stp>
        <stp>[FA1_ivyerigx.xlsx]Bal Sheet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16578</v>
        <stp/>
        <stp>##V3_BDHV12</stp>
        <stp>XOM US Equity</stp>
        <stp>BS_OTHER_ASSETS_DEF_CHRG_OTHER</stp>
        <stp>FQ4 2001</stp>
        <stp>FQ4 2001</stp>
        <stp>[FA1_ivyerigx.xlsx]Bal Sheet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3"/>
      </tp>
      <tp t="s">
        <v>—</v>
        <stp/>
        <stp>##V3_BDHV12</stp>
        <stp>XOM US Equity</stp>
        <stp>BS_OTHER_ASSETS_DEF_CHRG_OTHER</stp>
        <stp>FQ1 2008</stp>
        <stp>FQ1 2008</stp>
        <stp>[FA1_ivyerigx.xlsx]Bal Sheet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3"/>
      </tp>
      <tp>
        <v>11584</v>
        <stp/>
        <stp>##V3_BDHV12</stp>
        <stp>XOM US Equity</stp>
        <stp>BS_INVENTORIES</stp>
        <stp>FQ1 2006</stp>
        <stp>FQ1 2006</stp>
        <stp>[FA1_ivyerigx.xlsx]Bal Sheet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3"/>
      </tp>
      <tp>
        <v>7668</v>
        <stp/>
        <stp>##V3_BDHV12</stp>
        <stp>XOM US Equity</stp>
        <stp>IS_INC_TAX_EXP</stp>
        <stp>FQ2 2007</stp>
        <stp>FQ2 2007</stp>
        <stp>[FA1_ivyerigx.xlsx]Income - Adjusted!R19C38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19" s="2"/>
      </tp>
      <tp>
        <v>758</v>
        <stp/>
        <stp>##V3_BDHV12</stp>
        <stp>XOM US Equity</stp>
        <stp>INVTRY_RAW_MATERIALS</stp>
        <stp>FQ3 1998</stp>
        <stp>FQ3 1998</stp>
        <stp>[FA1_ivyerigx.xlsx]Bal Sheet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3"/>
      </tp>
      <tp t="s">
        <v>—</v>
        <stp/>
        <stp>##V3_BDHV12</stp>
        <stp>XOM US Equity</stp>
        <stp>INVTRY_RAW_MATERIALS</stp>
        <stp>FQ4 1998</stp>
        <stp>FQ4 1998</stp>
        <stp>[FA1_ivyerigx.xlsx]Bal Sheet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3"/>
      </tp>
      <tp>
        <v>8615</v>
        <stp/>
        <stp>##V3_BDHV12</stp>
        <stp>XOM US Equity</stp>
        <stp>BS_INVENTORIES</stp>
        <stp>FQ3 2001</stp>
        <stp>FQ3 2001</stp>
        <stp>[FA1_ivyerigx.xlsx]Bal Sheet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3"/>
      </tp>
      <tp>
        <v>12605</v>
        <stp/>
        <stp>##V3_BDHV12</stp>
        <stp>XOM US Equity</stp>
        <stp>BS_INVENTORIES</stp>
        <stp>FQ1 2007</stp>
        <stp>FQ1 2007</stp>
        <stp>[FA1_ivyerigx.xlsx]Bal Sheet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3"/>
      </tp>
      <tp>
        <v>8540</v>
        <stp/>
        <stp>##V3_BDHV12</stp>
        <stp>XOM US Equity</stp>
        <stp>BS_INVENTORIES</stp>
        <stp>FQ3 2000</stp>
        <stp>FQ3 2000</stp>
        <stp>[FA1_ivyerigx.xlsx]Bal Sheet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3"/>
      </tp>
      <tp>
        <v>684</v>
        <stp/>
        <stp>##V3_BDHV12</stp>
        <stp>XOM US Equity</stp>
        <stp>INVTRY_RAW_MATERIALS</stp>
        <stp>FQ1 1999</stp>
        <stp>FQ1 1999</stp>
        <stp>[FA1_ivyerigx.xlsx]Bal Sheet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3"/>
      </tp>
      <tp>
        <v>664</v>
        <stp/>
        <stp>##V3_BDHV12</stp>
        <stp>XOM US Equity</stp>
        <stp>INVTRY_RAW_MATERIALS</stp>
        <stp>FQ2 1999</stp>
        <stp>FQ2 1999</stp>
        <stp>[FA1_ivyerigx.xlsx]Bal Sheet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3"/>
      </tp>
      <tp>
        <v>675</v>
        <stp/>
        <stp>##V3_BDHV12</stp>
        <stp>XOM US Equity</stp>
        <stp>INVTRY_RAW_MATERIALS</stp>
        <stp>FQ3 1999</stp>
        <stp>FQ3 1999</stp>
        <stp>[FA1_ivyerigx.xlsx]Bal Sheet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3"/>
      </tp>
      <tp>
        <v>16314</v>
        <stp/>
        <stp>##V3_BDHV12</stp>
        <stp>XOM US Equity</stp>
        <stp>PRETAX_INC</stp>
        <stp>FQ1 2007</stp>
        <stp>FQ1 2007</stp>
        <stp>[FA1_ivyerigx.xlsx]Income - Adjusted!R16C37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6" s="2"/>
      </tp>
      <tp>
        <v>6063</v>
        <stp/>
        <stp>##V3_BDHV12</stp>
        <stp>XOM US Equity</stp>
        <stp>PRETAX_INC</stp>
        <stp>FQ3 2003</stp>
        <stp>FQ3 2003</stp>
        <stp>[FA1_ivyerigx.xlsx]Income - Adjusted!R16C23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6" s="2"/>
      </tp>
      <tp>
        <v>6816</v>
        <stp/>
        <stp>##V3_BDHV12</stp>
        <stp>XOM US Equity</stp>
        <stp>PRETAX_INC</stp>
        <stp>FQ2 2000</stp>
        <stp>FQ2 2000</stp>
        <stp>[FA1_ivyerigx.xlsx]Income - Adjusted!R16C10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2"/>
      </tp>
      <tp>
        <v>15885</v>
        <stp/>
        <stp>##V3_BDHV12</stp>
        <stp>XOM US Equity</stp>
        <stp>PRETAX_INC</stp>
        <stp>FQ4 2006</stp>
        <stp>FQ4 2006</stp>
        <stp>[FA1_ivyerigx.xlsx]Income - Adjusted!R16C36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6" s="2"/>
      </tp>
      <tp>
        <v>8485</v>
        <stp/>
        <stp>##V3_BDHV12</stp>
        <stp>XOM US Equity</stp>
        <stp>BS_FUTURE_MIN_OPER_LEASE_OBLIG</stp>
        <stp>FQ4 2006</stp>
        <stp>FQ4 2006</stp>
        <stp>[FA1_ivyerigx.xlsx]Bal Sheet - Standardized!R56C36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6" s="3"/>
      </tp>
      <tp>
        <v>8756</v>
        <stp/>
        <stp>##V3_BDHV12</stp>
        <stp>XOM US Equity</stp>
        <stp>BS_INVENTORIES</stp>
        <stp>FQ3 2002</stp>
        <stp>FQ3 2002</stp>
        <stp>[FA1_ivyerigx.xlsx]Bal Sheet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3"/>
      </tp>
      <tp>
        <v>6723</v>
        <stp/>
        <stp>##V3_BDHV12</stp>
        <stp>XOM US Equity</stp>
        <stp>BS_FUTURE_MIN_OPER_LEASE_OBLIG</stp>
        <stp>FQ4 2005</stp>
        <stp>FQ4 2005</stp>
        <stp>[FA1_ivyerigx.xlsx]Bal Sheet - Standardized!R56C32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6" s="3"/>
      </tp>
      <tp>
        <v>112</v>
        <stp/>
        <stp>##V3_BDHV12</stp>
        <stp>XOM US Equity</stp>
        <stp>INVTRY_RAW_MATERIALS</stp>
        <stp>FQ4 1999</stp>
        <stp>FQ4 1999</stp>
        <stp>[FA1_ivyerigx.xlsx]Bal Sheet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3"/>
      </tp>
      <tp>
        <v>33175</v>
        <stp/>
        <stp>##V3_BDHV12</stp>
        <stp>XOM US Equity</stp>
        <stp>BS_CUR_LIAB</stp>
        <stp>FQ4 2002</stp>
        <stp>FQ4 2002</stp>
        <stp>[FA1_ivyerigx.xlsx]Bal Sheet - Standardized!R35C20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5" s="3"/>
      </tp>
      <tp>
        <v>14036</v>
        <stp/>
        <stp>##V3_BDHV12</stp>
        <stp>XOM US Equity</stp>
        <stp>GROSS_PROFIT</stp>
        <stp>FQ1 2002</stp>
        <stp>FQ1 2002</stp>
        <stp>[FA1_ivyerigx.xlsx]Income - Adjusted!R8C17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8" s="2"/>
      </tp>
      <tp>
        <v>38386</v>
        <stp/>
        <stp>##V3_BDHV12</stp>
        <stp>XOM US Equity</stp>
        <stp>BS_CUR_LIAB</stp>
        <stp>FQ4 2003</stp>
        <stp>FQ4 2003</stp>
        <stp>[FA1_ivyerigx.xlsx]Bal Sheet - Standardized!R35C24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5" s="3"/>
      </tp>
      <tp>
        <v>16891</v>
        <stp/>
        <stp>##V3_BDHV12</stp>
        <stp>XOM US Equity</stp>
        <stp>GROSS_PROFIT</stp>
        <stp>FQ1 2006</stp>
        <stp>FQ1 2006</stp>
        <stp>[FA1_ivyerigx.xlsx]Income - Adjusted!R8C33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8" s="2"/>
      </tp>
      <tp>
        <v>17025</v>
        <stp/>
        <stp>##V3_BDHV12</stp>
        <stp>XOM US Equity</stp>
        <stp>GROSS_PROFIT</stp>
        <stp>FQ4 2006</stp>
        <stp>FQ4 2006</stp>
        <stp>[FA1_ivyerigx.xlsx]Income - Adjusted!R8C36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8" s="2"/>
      </tp>
      <tp>
        <v>42981</v>
        <stp/>
        <stp>##V3_BDHV12</stp>
        <stp>XOM US Equity</stp>
        <stp>BS_CUR_LIAB</stp>
        <stp>FQ4 2004</stp>
        <stp>FQ4 2004</stp>
        <stp>[FA1_ivyerigx.xlsx]Bal Sheet - Standardized!R35C28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5" s="3"/>
      </tp>
      <tp>
        <v>77233</v>
        <stp/>
        <stp>##V3_BDHV12</stp>
        <stp>XOM US Equity</stp>
        <stp>BS_CUR_LIAB</stp>
        <stp>FQ2 2008</stp>
        <stp>FQ2 2008</stp>
        <stp>[FA1_ivyerigx.xlsx]Bal Sheet - Standardized!R35C42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5" s="3"/>
      </tp>
      <tp>
        <v>0</v>
        <stp/>
        <stp>##V3_BDHV12</stp>
        <stp>XOM US Equity</stp>
        <stp>NET_CHG_IN_LT_INVEST_DETAILED</stp>
        <stp>FQ1 2000</stp>
        <stp>FQ1 2000</stp>
        <stp>[FA1_ivyerigx.xlsx]Cash Flow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4"/>
      </tp>
      <tp>
        <v>145597</v>
        <stp/>
        <stp>##V3_BDHV12</stp>
        <stp>XOM US Equity</stp>
        <stp>BS_ACCUM_DEPR</stp>
        <stp>FQ4 2006</stp>
        <stp>FQ4 2006</stp>
        <stp>[FA1_ivyerigx.xlsx]Bal Sheet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3"/>
      </tp>
      <tp>
        <v>6743</v>
        <stp/>
        <stp>##V3_BDHV12</stp>
        <stp>XOM US Equity</stp>
        <stp>INVTRY_FINISHED_GOODS</stp>
        <stp>FQ4 2001</stp>
        <stp>FQ4 2001</stp>
        <stp>[FA1_ivyerigx.xlsx]Bal Sheet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3"/>
      </tp>
      <tp>
        <v>7244</v>
        <stp/>
        <stp>##V3_BDHV12</stp>
        <stp>XOM US Equity</stp>
        <stp>INVTRY_FINISHED_GOODS</stp>
        <stp>FQ4 2000</stp>
        <stp>FQ4 2000</stp>
        <stp>[FA1_ivyerigx.xlsx]Bal Sheet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3"/>
      </tp>
      <tp>
        <v>133284</v>
        <stp/>
        <stp>##V3_BDHV12</stp>
        <stp>XOM US Equity</stp>
        <stp>BS_ACCUM_DEPR</stp>
        <stp>FQ4 2005</stp>
        <stp>FQ4 2005</stp>
        <stp>[FA1_ivyerigx.xlsx]Bal Sheet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3"/>
      </tp>
      <tp>
        <v>13075</v>
        <stp/>
        <stp>##V3_BDHV12</stp>
        <stp>XOM US Equity</stp>
        <stp>INVTRY_FINISHED_GOODS</stp>
        <stp>FQ1 2008</stp>
        <stp>FQ1 2008</stp>
        <stp>[FA1_ivyerigx.xlsx]Bal Sheet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3"/>
      </tp>
      <tp>
        <v>0</v>
        <stp/>
        <stp>##V3_BDHV12</stp>
        <stp>XOM US Equity</stp>
        <stp>OTHER_ADJUSTMENTS</stp>
        <stp>FQ1 2008</stp>
        <stp>FQ1 2008</stp>
        <stp>[FA1_ivyerigx.xlsx]Income - Adjusted!R26C41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2"/>
      </tp>
      <tp>
        <v>661</v>
        <stp/>
        <stp>##V3_BDHV12</stp>
        <stp>XOM US Equity</stp>
        <stp>IS_INC_TAX_EXP</stp>
        <stp>FQ3 1998</stp>
        <stp>FQ3 1998</stp>
        <stp>[FA1_ivyerigx.xlsx]Income - Adjusted!R19C3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9" s="2"/>
      </tp>
      <tp t="s">
        <v>—</v>
        <stp/>
        <stp>##V3_BDHV12</stp>
        <stp>XOM US Equity</stp>
        <stp>IS_INC_TAX_EXP</stp>
        <stp>FQ4 1998</stp>
        <stp>FQ4 1998</stp>
        <stp>[FA1_ivyerigx.xlsx]Income - Adjusted!R19C4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9" s="2"/>
      </tp>
      <tp>
        <v>0</v>
        <stp/>
        <stp>##V3_BDHV12</stp>
        <stp>XOM US Equity</stp>
        <stp>BS_OTHER_INV</stp>
        <stp>FQ1 2000</stp>
        <stp>FQ1 2000</stp>
        <stp>[FA1_ivyerigx.xlsx]Bal Sheet - Standardized!R16C9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6" s="3"/>
      </tp>
      <tp>
        <v>7350</v>
        <stp/>
        <stp>##V3_BDHV12</stp>
        <stp>XOM US Equity</stp>
        <stp>IS_INC_TAX_EXP</stp>
        <stp>FQ3 2007</stp>
        <stp>FQ3 2007</stp>
        <stp>[FA1_ivyerigx.xlsx]Income - Adjusted!R19C39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19" s="2"/>
      </tp>
      <tp>
        <v>8395</v>
        <stp/>
        <stp>##V3_BDHV12</stp>
        <stp>XOM US Equity</stp>
        <stp>BS_INVENTORIES</stp>
        <stp>FQ2 2001</stp>
        <stp>FQ2 2001</stp>
        <stp>[FA1_ivyerigx.xlsx]Bal Sheet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3"/>
      </tp>
      <tp>
        <v>10186</v>
        <stp/>
        <stp>##V3_BDHV12</stp>
        <stp>XOM US Equity</stp>
        <stp>BS_INVENTORIES</stp>
        <stp>FQ1 2004</stp>
        <stp>FQ1 2004</stp>
        <stp>[FA1_ivyerigx.xlsx]Bal Sheet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3"/>
      </tp>
      <tp t="s">
        <v>—</v>
        <stp/>
        <stp>##V3_BDHV12</stp>
        <stp>XOM US Equity</stp>
        <stp>IS_OTHER_OPER_INC</stp>
        <stp>FQ4 1999</stp>
        <stp>FQ4 1999</stp>
        <stp>[FA1_ivyerigx.xlsx]Income - Adjusted!R9C8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9" s="2"/>
      </tp>
      <tp>
        <v>8499</v>
        <stp/>
        <stp>##V3_BDHV12</stp>
        <stp>XOM US Equity</stp>
        <stp>BS_INVENTORIES</stp>
        <stp>FQ2 2000</stp>
        <stp>FQ2 2000</stp>
        <stp>[FA1_ivyerigx.xlsx]Bal Sheet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3"/>
      </tp>
      <tp t="s">
        <v>—</v>
        <stp/>
        <stp>##V3_BDHV12</stp>
        <stp>XOM US Equity</stp>
        <stp>BS_FUTURE_MIN_OPER_LEASE_OBLIG</stp>
        <stp>FQ2 2008</stp>
        <stp>FQ2 2008</stp>
        <stp>[FA1_ivyerigx.xlsx]Bal Sheet - Standardized!R56C42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6" s="3"/>
      </tp>
      <tp>
        <v>5769</v>
        <stp/>
        <stp>##V3_BDHV12</stp>
        <stp>XOM US Equity</stp>
        <stp>BS_FUTURE_MIN_OPER_LEASE_OBLIG</stp>
        <stp>FQ4 2004</stp>
        <stp>FQ4 2004</stp>
        <stp>[FA1_ivyerigx.xlsx]Bal Sheet - Standardized!R56C28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6" s="3"/>
      </tp>
      <tp>
        <v>8862</v>
        <stp/>
        <stp>##V3_BDHV12</stp>
        <stp>XOM US Equity</stp>
        <stp>BS_INVENTORIES</stp>
        <stp>FQ1 2003</stp>
        <stp>FQ1 2003</stp>
        <stp>[FA1_ivyerigx.xlsx]Bal Sheet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3"/>
      </tp>
      <tp>
        <v>6547</v>
        <stp/>
        <stp>##V3_BDHV12</stp>
        <stp>XOM US Equity</stp>
        <stp>BS_FUTURE_MIN_OPER_LEASE_OBLIG</stp>
        <stp>FQ4 2002</stp>
        <stp>FQ4 2002</stp>
        <stp>[FA1_ivyerigx.xlsx]Bal Sheet - Standardized!R56C20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6" s="3"/>
      </tp>
      <tp>
        <v>9116</v>
        <stp/>
        <stp>##V3_BDHV12</stp>
        <stp>XOM US Equity</stp>
        <stp>PRETAX_INC</stp>
        <stp>FQ1 2004</stp>
        <stp>FQ1 2004</stp>
        <stp>[FA1_ivyerigx.xlsx]Income - Adjusted!R16C25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6" s="2"/>
      </tp>
      <tp>
        <v>10462</v>
        <stp/>
        <stp>##V3_BDHV12</stp>
        <stp>XOM US Equity</stp>
        <stp>BS_INVENTORIES</stp>
        <stp>FQ1 2005</stp>
        <stp>FQ1 2005</stp>
        <stp>[FA1_ivyerigx.xlsx]Bal Sheet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3"/>
      </tp>
      <tp>
        <v>6770</v>
        <stp/>
        <stp>##V3_BDHV12</stp>
        <stp>XOM US Equity</stp>
        <stp>PRETAX_INC</stp>
        <stp>FQ3 2000</stp>
        <stp>FQ3 2000</stp>
        <stp>[FA1_ivyerigx.xlsx]Income - Adjusted!R16C11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2"/>
      </tp>
      <tp>
        <v>6848</v>
        <stp/>
        <stp>##V3_BDHV12</stp>
        <stp>XOM US Equity</stp>
        <stp>PRETAX_INC</stp>
        <stp>FQ2 2003</stp>
        <stp>FQ2 2003</stp>
        <stp>[FA1_ivyerigx.xlsx]Income - Adjusted!R16C22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6" s="2"/>
      </tp>
      <tp>
        <v>8666</v>
        <stp/>
        <stp>##V3_BDHV12</stp>
        <stp>XOM US Equity</stp>
        <stp>BS_INVENTORIES</stp>
        <stp>FQ2 2002</stp>
        <stp>FQ2 2002</stp>
        <stp>[FA1_ivyerigx.xlsx]Bal Sheet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3"/>
      </tp>
      <tp>
        <v>5911</v>
        <stp/>
        <stp>##V3_BDHV12</stp>
        <stp>XOM US Equity</stp>
        <stp>BS_FUTURE_MIN_OPER_LEASE_OBLIG</stp>
        <stp>FQ4 2003</stp>
        <stp>FQ4 2003</stp>
        <stp>[FA1_ivyerigx.xlsx]Bal Sheet - Standardized!R56C24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6" s="3"/>
      </tp>
      <tp>
        <v>48817</v>
        <stp/>
        <stp>##V3_BDHV12</stp>
        <stp>XOM US Equity</stp>
        <stp>BS_CUR_LIAB</stp>
        <stp>FQ4 2006</stp>
        <stp>FQ4 2006</stp>
        <stp>[FA1_ivyerigx.xlsx]Bal Sheet - Standardized!R35C36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5" s="3"/>
      </tp>
      <tp>
        <v>46307</v>
        <stp/>
        <stp>##V3_BDHV12</stp>
        <stp>XOM US Equity</stp>
        <stp>BS_CUR_LIAB</stp>
        <stp>FQ4 2005</stp>
        <stp>FQ4 2005</stp>
        <stp>[FA1_ivyerigx.xlsx]Bal Sheet - Standardized!R35C32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5" s="3"/>
      </tp>
      <tp t="s">
        <v>—</v>
        <stp/>
        <stp>##V3_BDHV12</stp>
        <stp>XOM US Equity</stp>
        <stp>BS_PENSION_RSRV</stp>
        <stp>FQ3 1999</stp>
        <stp>FQ3 1999</stp>
        <stp>[FA1_ivyerigx.xlsx]Bal Sheet - Standardized!R55C7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3"/>
      </tp>
      <tp t="s">
        <v>—</v>
        <stp/>
        <stp>##V3_BDHV12</stp>
        <stp>XOM US Equity</stp>
        <stp>BS_PENSION_RSRV</stp>
        <stp>FQ2 1999</stp>
        <stp>FQ2 1999</stp>
        <stp>[FA1_ivyerigx.xlsx]Bal Sheet - Standardized!R55C6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3"/>
      </tp>
      <tp t="s">
        <v>—</v>
        <stp/>
        <stp>##V3_BDHV12</stp>
        <stp>XOM US Equity</stp>
        <stp>BS_PENSION_RSRV</stp>
        <stp>FQ1 1999</stp>
        <stp>FQ1 1999</stp>
        <stp>[FA1_ivyerigx.xlsx]Bal Sheet - Standardized!R55C5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3"/>
      </tp>
      <tp t="s">
        <v>—</v>
        <stp/>
        <stp>##V3_BDHV12</stp>
        <stp>XOM US Equity</stp>
        <stp>BS_PENSION_RSRV</stp>
        <stp>FQ3 1998</stp>
        <stp>FQ3 1998</stp>
        <stp>[FA1_ivyerigx.xlsx]Bal Sheet - Standardized!R55C3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3"/>
      </tp>
      <tp t="s">
        <v>—</v>
        <stp/>
        <stp>##V3_BDHV12</stp>
        <stp>XOM US Equity</stp>
        <stp>BS_PENSION_RSRV</stp>
        <stp>FQ4 1998</stp>
        <stp>FQ4 1998</stp>
        <stp>[FA1_ivyerigx.xlsx]Bal Sheet - Standardized!R55C4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3"/>
      </tp>
      <tp t="s">
        <v>—</v>
        <stp/>
        <stp>##V3_BDHV12</stp>
        <stp>XOM US Equity</stp>
        <stp>BS_PENSION_RSRV</stp>
        <stp>FQ4 1999</stp>
        <stp>FQ4 1999</stp>
        <stp>[FA1_ivyerigx.xlsx]Bal Sheet - Standardized!R55C8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3"/>
      </tp>
      <tp>
        <v>110020</v>
        <stp/>
        <stp>##V3_BDHV12</stp>
        <stp>XOM US Equity</stp>
        <stp>BS_ACCUM_DEPR</stp>
        <stp>FQ4 2002</stp>
        <stp>FQ4 2002</stp>
        <stp>[FA1_ivyerigx.xlsx]Bal Sheet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3"/>
      </tp>
      <tp>
        <v>124350</v>
        <stp/>
        <stp>##V3_BDHV12</stp>
        <stp>XOM US Equity</stp>
        <stp>BS_ACCUM_DEPR</stp>
        <stp>FQ4 2003</stp>
        <stp>FQ4 2003</stp>
        <stp>[FA1_ivyerigx.xlsx]Bal Sheet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3"/>
      </tp>
      <tp t="s">
        <v>—</v>
        <stp/>
        <stp>##V3_BDHV12</stp>
        <stp>XOM US Equity</stp>
        <stp>BS_ACCUM_DEPR</stp>
        <stp>FQ2 2008</stp>
        <stp>FQ2 2008</stp>
        <stp>[FA1_ivyerigx.xlsx]Bal Sheet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3"/>
      </tp>
      <tp>
        <v>133783</v>
        <stp/>
        <stp>##V3_BDHV12</stp>
        <stp>XOM US Equity</stp>
        <stp>BS_ACCUM_DEPR</stp>
        <stp>FQ4 2004</stp>
        <stp>FQ4 2004</stp>
        <stp>[FA1_ivyerigx.xlsx]Bal Sheet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3"/>
      </tp>
      <tp>
        <v>60.08</v>
        <stp/>
        <stp>##V3_BDHV12</stp>
        <stp>XOM US Equity</stp>
        <stp>PX_TO_FREE_CASH_FLOW</stp>
        <stp>FQ4 1999</stp>
        <stp>FQ4 1999</stp>
        <stp>[FA1_ivyerigx.xlsx]Cash Flow - Standardized!R50C8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0" s="4"/>
      </tp>
      <tp>
        <v>3404</v>
        <stp/>
        <stp>##V3_BDHV12</stp>
        <stp>XOM US Equity</stp>
        <stp>BS_OTHER_ASSETS_DEF_CHRG_OTHER</stp>
        <stp>FQ4 1998</stp>
        <stp>FQ4 1998</stp>
        <stp>[FA1_ivyerigx.xlsx]Bal Sheet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8873</v>
        <stp/>
        <stp>##V3_BDHV12</stp>
        <stp>XOM US Equity</stp>
        <stp>BS_OTHER_ASSETS_DEF_CHRG_OTHER</stp>
        <stp>FQ3 1998</stp>
        <stp>FQ3 1998</stp>
        <stp>[FA1_ivyerigx.xlsx]Bal Sheet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3"/>
      </tp>
      <tp t="s">
        <v>—</v>
        <stp/>
        <stp>##V3_BDHV12</stp>
        <stp>XOM US Equity</stp>
        <stp>BS_OTHER_ASSETS_DEF_CHRG_OTHER</stp>
        <stp>FQ1 1999</stp>
        <stp>FQ1 1999</stp>
        <stp>[FA1_ivyerigx.xlsx]Bal Sheet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3"/>
      </tp>
      <tp t="s">
        <v>—</v>
        <stp/>
        <stp>##V3_BDHV12</stp>
        <stp>XOM US Equity</stp>
        <stp>BS_OTHER_ASSETS_DEF_CHRG_OTHER</stp>
        <stp>FQ2 1999</stp>
        <stp>FQ2 1999</stp>
        <stp>[FA1_ivyerigx.xlsx]Bal Sheet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3"/>
      </tp>
      <tp t="s">
        <v>—</v>
        <stp/>
        <stp>##V3_BDHV12</stp>
        <stp>XOM US Equity</stp>
        <stp>BS_OTHER_ASSETS_DEF_CHRG_OTHER</stp>
        <stp>FQ3 1999</stp>
        <stp>FQ3 1999</stp>
        <stp>[FA1_ivyerigx.xlsx]Bal Sheet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3"/>
      </tp>
      <tp t="s">
        <v>—</v>
        <stp/>
        <stp>##V3_BDHV12</stp>
        <stp>XOM US Equity</stp>
        <stp>EBITA</stp>
        <stp>FQ4 1999</stp>
        <stp>FQ4 1999</stp>
        <stp>[FA1_ivyerigx.xlsx]Income - Adjusted!R47C8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7" s="2"/>
      </tp>
      <tp>
        <v>4793</v>
        <stp/>
        <stp>##V3_BDHV12</stp>
        <stp>XOM US Equity</stp>
        <stp>BS_OTHER_ASSETS_DEF_CHRG_OTHER</stp>
        <stp>FQ4 1999</stp>
        <stp>FQ4 1999</stp>
        <stp>[FA1_ivyerigx.xlsx]Bal Sheet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16.665399999999998</v>
        <stp/>
        <stp>##V3_BDHV12</stp>
        <stp>XOM US Equity</stp>
        <stp>REVENUE_PER_SH</stp>
        <stp>FQ3 2007</stp>
        <stp>FQ3 2007</stp>
        <stp>[FA1_ivyerigx.xlsx]Per Share!R11C39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1" s="5"/>
      </tp>
      <tp>
        <v>15.1005</v>
        <stp/>
        <stp>##V3_BDHV12</stp>
        <stp>XOM US Equity</stp>
        <stp>REVENUE_PER_SH</stp>
        <stp>FQ3 2006</stp>
        <stp>FQ3 2006</stp>
        <stp>[FA1_ivyerigx.xlsx]Per Share!R11C35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1" s="5"/>
      </tp>
      <tp>
        <v>14.191800000000001</v>
        <stp/>
        <stp>##V3_BDHV12</stp>
        <stp>XOM US Equity</stp>
        <stp>REVENUE_PER_SH</stp>
        <stp>FQ3 2005</stp>
        <stp>FQ3 2005</stp>
        <stp>[FA1_ivyerigx.xlsx]Per Share!R11C31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1" s="5"/>
      </tp>
      <tp>
        <v>10.4903</v>
        <stp/>
        <stp>##V3_BDHV12</stp>
        <stp>XOM US Equity</stp>
        <stp>REVENUE_PER_SH</stp>
        <stp>FQ3 2004</stp>
        <stp>FQ3 2004</stp>
        <stp>[FA1_ivyerigx.xlsx]Per Share!R11C27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1" s="5"/>
      </tp>
      <tp>
        <v>6.6864999999999997</v>
        <stp/>
        <stp>##V3_BDHV12</stp>
        <stp>XOM US Equity</stp>
        <stp>REVENUE_PER_SH</stp>
        <stp>FQ3 2001</stp>
        <stp>FQ3 2001</stp>
        <stp>[FA1_ivyerigx.xlsx]Per Share!R11C15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1" s="5"/>
      </tp>
      <tp>
        <v>7.4968000000000004</v>
        <stp/>
        <stp>##V3_BDHV12</stp>
        <stp>XOM US Equity</stp>
        <stp>REVENUE_PER_SH</stp>
        <stp>FQ3 2000</stp>
        <stp>FQ3 2000</stp>
        <stp>[FA1_ivyerigx.xlsx]Per Share!R11C11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1" s="5"/>
      </tp>
      <tp>
        <v>7.9861000000000004</v>
        <stp/>
        <stp>##V3_BDHV12</stp>
        <stp>XOM US Equity</stp>
        <stp>REVENUE_PER_SH</stp>
        <stp>FQ3 2003</stp>
        <stp>FQ3 2003</stp>
        <stp>[FA1_ivyerigx.xlsx]Per Share!R11C23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1" s="5"/>
      </tp>
      <tp>
        <v>7.0467000000000004</v>
        <stp/>
        <stp>##V3_BDHV12</stp>
        <stp>XOM US Equity</stp>
        <stp>REVENUE_PER_SH</stp>
        <stp>FQ3 2002</stp>
        <stp>FQ3 2002</stp>
        <stp>[FA1_ivyerigx.xlsx]Per Share!R11C19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1" s="5"/>
      </tp>
      <tp>
        <v>14.7066</v>
        <stp/>
        <stp>##V3_BDHV12</stp>
        <stp>XOM US Equity</stp>
        <stp>REVENUE_PER_SH</stp>
        <stp>FQ2 2006</stp>
        <stp>FQ2 2006</stp>
        <stp>[FA1_ivyerigx.xlsx]Per Share!R11C34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1" s="5"/>
      </tp>
      <tp>
        <v>15.7064</v>
        <stp/>
        <stp>##V3_BDHV12</stp>
        <stp>XOM US Equity</stp>
        <stp>REVENUE_PER_SH</stp>
        <stp>FQ2 2007</stp>
        <stp>FQ2 2007</stp>
        <stp>[FA1_ivyerigx.xlsx]Per Share!R11C38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1" s="5"/>
      </tp>
      <tp>
        <v>12.536799999999999</v>
        <stp/>
        <stp>##V3_BDHV12</stp>
        <stp>XOM US Equity</stp>
        <stp>REVENUE_PER_SH</stp>
        <stp>FQ2 2005</stp>
        <stp>FQ2 2005</stp>
        <stp>[FA1_ivyerigx.xlsx]Per Share!R11C30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1" s="5"/>
      </tp>
      <tp>
        <v>9.6381999999999994</v>
        <stp/>
        <stp>##V3_BDHV12</stp>
        <stp>XOM US Equity</stp>
        <stp>REVENUE_PER_SH</stp>
        <stp>FQ2 2004</stp>
        <stp>FQ2 2004</stp>
        <stp>[FA1_ivyerigx.xlsx]Per Share!R11C26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1" s="5"/>
      </tp>
      <tp>
        <v>7.5549999999999997</v>
        <stp/>
        <stp>##V3_BDHV12</stp>
        <stp>XOM US Equity</stp>
        <stp>REVENUE_PER_SH</stp>
        <stp>FQ2 2003</stp>
        <stp>FQ2 2003</stp>
        <stp>[FA1_ivyerigx.xlsx]Per Share!R11C22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1" s="5"/>
      </tp>
      <tp>
        <v>7.1070000000000002</v>
        <stp/>
        <stp>##V3_BDHV12</stp>
        <stp>XOM US Equity</stp>
        <stp>REVENUE_PER_SH</stp>
        <stp>FQ2 2000</stp>
        <stp>FQ2 2000</stp>
        <stp>[FA1_ivyerigx.xlsx]Per Share!R11C10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1" s="5"/>
      </tp>
      <tp>
        <v>7.2461000000000002</v>
        <stp/>
        <stp>##V3_BDHV12</stp>
        <stp>XOM US Equity</stp>
        <stp>REVENUE_PER_SH</stp>
        <stp>FQ2 2001</stp>
        <stp>FQ2 2001</stp>
        <stp>[FA1_ivyerigx.xlsx]Per Share!R11C14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1" s="5"/>
      </tp>
      <tp>
        <v>6.5651999999999999</v>
        <stp/>
        <stp>##V3_BDHV12</stp>
        <stp>XOM US Equity</stp>
        <stp>REVENUE_PER_SH</stp>
        <stp>FQ2 2002</stp>
        <stp>FQ2 2002</stp>
        <stp>[FA1_ivyerigx.xlsx]Per Share!R11C18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1" s="5"/>
      </tp>
      <tp>
        <v>23.8873</v>
        <stp/>
        <stp>##V3_BDHV12</stp>
        <stp>XOM US Equity</stp>
        <stp>REVENUE_PER_SH</stp>
        <stp>FQ2 2008</stp>
        <stp>FQ2 2008</stp>
        <stp>[FA1_ivyerigx.xlsx]Per Share!R11C42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1" s="5"/>
      </tp>
      <tp>
        <v>9.1143000000000001</v>
        <stp/>
        <stp>##V3_BDHV12</stp>
        <stp>XOM US Equity</stp>
        <stp>REVENUE_PER_SH</stp>
        <stp>FQ1 2004</stp>
        <stp>FQ1 2004</stp>
        <stp>[FA1_ivyerigx.xlsx]Per Share!R11C25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1" s="5"/>
      </tp>
      <tp>
        <v>11.3491</v>
        <stp/>
        <stp>##V3_BDHV12</stp>
        <stp>XOM US Equity</stp>
        <stp>REVENUE_PER_SH</stp>
        <stp>FQ1 2005</stp>
        <stp>FQ1 2005</stp>
        <stp>[FA1_ivyerigx.xlsx]Per Share!R11C29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1" s="5"/>
      </tp>
      <tp>
        <v>13.6088</v>
        <stp/>
        <stp>##V3_BDHV12</stp>
        <stp>XOM US Equity</stp>
        <stp>REVENUE_PER_SH</stp>
        <stp>FQ1 2007</stp>
        <stp>FQ1 2007</stp>
        <stp>[FA1_ivyerigx.xlsx]Per Share!R11C37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1" s="5"/>
      </tp>
      <tp>
        <v>12.9619</v>
        <stp/>
        <stp>##V3_BDHV12</stp>
        <stp>XOM US Equity</stp>
        <stp>REVENUE_PER_SH</stp>
        <stp>FQ1 2006</stp>
        <stp>FQ1 2006</stp>
        <stp>[FA1_ivyerigx.xlsx]Per Share!R11C33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1" s="5"/>
      </tp>
      <tp>
        <v>5.5831999999999997</v>
        <stp/>
        <stp>##V3_BDHV12</stp>
        <stp>XOM US Equity</stp>
        <stp>REVENUE_PER_SH</stp>
        <stp>FQ1 2002</stp>
        <stp>FQ1 2002</stp>
        <stp>[FA1_ivyerigx.xlsx]Per Share!R11C17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1" s="5"/>
      </tp>
      <tp>
        <v>7.3468999999999998</v>
        <stp/>
        <stp>##V3_BDHV12</stp>
        <stp>XOM US Equity</stp>
        <stp>REVENUE_PER_SH</stp>
        <stp>FQ1 2001</stp>
        <stp>FQ1 2001</stp>
        <stp>[FA1_ivyerigx.xlsx]Per Share!R11C13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1" s="5"/>
      </tp>
      <tp>
        <v>8.1335999999999995</v>
        <stp/>
        <stp>##V3_BDHV12</stp>
        <stp>XOM US Equity</stp>
        <stp>REVENUE_PER_SH</stp>
        <stp>FQ1 2003</stp>
        <stp>FQ1 2003</stp>
        <stp>[FA1_ivyerigx.xlsx]Per Share!R11C21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1" s="5"/>
      </tp>
      <tp>
        <v>19.7682</v>
        <stp/>
        <stp>##V3_BDHV12</stp>
        <stp>XOM US Equity</stp>
        <stp>REVENUE_PER_SH</stp>
        <stp>FQ1 2008</stp>
        <stp>FQ1 2008</stp>
        <stp>[FA1_ivyerigx.xlsx]Per Share!R11C41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1" s="5"/>
      </tp>
      <tp t="s">
        <v>—</v>
        <stp/>
        <stp>##V3_BDHV12</stp>
        <stp>XOM US Equity</stp>
        <stp>BS_OTHER_ASSETS_DEF_CHRG_OTHER</stp>
        <stp>FQ2 2001</stp>
        <stp>FQ2 2001</stp>
        <stp>[FA1_ivyerigx.xlsx]Bal Sheet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3"/>
      </tp>
      <tp t="s">
        <v>—</v>
        <stp/>
        <stp>##V3_BDHV12</stp>
        <stp>XOM US Equity</stp>
        <stp>BS_OTHER_ASSETS_DEF_CHRG_OTHER</stp>
        <stp>FQ1 2004</stp>
        <stp>FQ1 2004</stp>
        <stp>[FA1_ivyerigx.xlsx]Bal Sheet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3"/>
      </tp>
      <tp t="s">
        <v>—</v>
        <stp/>
        <stp>##V3_BDHV12</stp>
        <stp>XOM US Equity</stp>
        <stp>BS_OTHER_ASSETS_DEF_CHRG_OTHER</stp>
        <stp>FQ1 2003</stp>
        <stp>FQ1 2003</stp>
        <stp>[FA1_ivyerigx.xlsx]Bal Sheet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3"/>
      </tp>
      <tp>
        <v>19.0487</v>
        <stp/>
        <stp>##V3_BDHV12</stp>
        <stp>XOM US Equity</stp>
        <stp>REVENUE_PER_SH</stp>
        <stp>FQ4 2007</stp>
        <stp>FQ4 2007</stp>
        <stp>[FA1_ivyerigx.xlsx]Per Share!R11C40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1" s="5"/>
      </tp>
      <tp>
        <v>8.4666999999999994</v>
        <stp/>
        <stp>##V3_BDHV12</stp>
        <stp>XOM US Equity</stp>
        <stp>REVENUE_PER_SH</stp>
        <stp>FQ4 2003</stp>
        <stp>FQ4 2003</stp>
        <stp>[FA1_ivyerigx.xlsx]Per Share!R11C24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1" s="5"/>
      </tp>
      <tp>
        <v>8.1646000000000001</v>
        <stp/>
        <stp>##V3_BDHV12</stp>
        <stp>XOM US Equity</stp>
        <stp>REVENUE_PER_SH</stp>
        <stp>FQ4 2000</stp>
        <stp>FQ4 2000</stp>
        <stp>[FA1_ivyerigx.xlsx]Per Share!R11C12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1" s="5"/>
      </tp>
      <tp>
        <v>6.0145</v>
        <stp/>
        <stp>##V3_BDHV12</stp>
        <stp>XOM US Equity</stp>
        <stp>REVENUE_PER_SH</stp>
        <stp>FQ4 2001</stp>
        <stp>FQ4 2001</stp>
        <stp>[FA1_ivyerigx.xlsx]Per Share!R11C16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1" s="5"/>
      </tp>
      <tp>
        <v>8.3747000000000007</v>
        <stp/>
        <stp>##V3_BDHV12</stp>
        <stp>XOM US Equity</stp>
        <stp>REVENUE_PER_SH</stp>
        <stp>FQ4 2002</stp>
        <stp>FQ4 2002</stp>
        <stp>[FA1_ivyerigx.xlsx]Per Share!R11C20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1" s="5"/>
      </tp>
      <tp>
        <v>14.1821</v>
        <stp/>
        <stp>##V3_BDHV12</stp>
        <stp>XOM US Equity</stp>
        <stp>REVENUE_PER_SH</stp>
        <stp>FQ4 2005</stp>
        <stp>FQ4 2005</stp>
        <stp>[FA1_ivyerigx.xlsx]Per Share!R11C32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1" s="5"/>
      </tp>
      <tp>
        <v>11.5161</v>
        <stp/>
        <stp>##V3_BDHV12</stp>
        <stp>XOM US Equity</stp>
        <stp>REVENUE_PER_SH</stp>
        <stp>FQ4 2004</stp>
        <stp>FQ4 2004</stp>
        <stp>[FA1_ivyerigx.xlsx]Per Share!R11C28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1" s="5"/>
      </tp>
      <tp>
        <v>13.8347</v>
        <stp/>
        <stp>##V3_BDHV12</stp>
        <stp>XOM US Equity</stp>
        <stp>REVENUE_PER_SH</stp>
        <stp>FQ4 2006</stp>
        <stp>FQ4 2006</stp>
        <stp>[FA1_ivyerigx.xlsx]Per Share!R11C36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1" s="5"/>
      </tp>
      <tp t="s">
        <v>—</v>
        <stp/>
        <stp>##V3_BDHV12</stp>
        <stp>XOM US Equity</stp>
        <stp>BS_OTHER_ASSETS_DEF_CHRG_OTHER</stp>
        <stp>FQ2 2000</stp>
        <stp>FQ2 2000</stp>
        <stp>[FA1_ivyerigx.xlsx]Bal Sheet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25247</v>
        <stp/>
        <stp>##V3_BDHV12</stp>
        <stp>XOM US Equity</stp>
        <stp>BS_OTHER_ASSETS_DEF_CHRG_OTHER</stp>
        <stp>FQ1 2005</stp>
        <stp>FQ1 2005</stp>
        <stp>[FA1_ivyerigx.xlsx]Bal Sheet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3"/>
      </tp>
      <tp t="s">
        <v>—</v>
        <stp/>
        <stp>##V3_BDHV12</stp>
        <stp>XOM US Equity</stp>
        <stp>BS_OTHER_ASSETS_DEF_CHRG_OTHER</stp>
        <stp>FQ2 2002</stp>
        <stp>FQ2 2002</stp>
        <stp>[FA1_ivyerigx.xlsx]Bal Sheet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3"/>
      </tp>
      <tp>
        <v>9302</v>
        <stp/>
        <stp>##V3_BDHV12</stp>
        <stp>XOM US Equity</stp>
        <stp>IS_INC_TAX_EXP</stp>
        <stp>FQ1 2008</stp>
        <stp>FQ1 2008</stp>
        <stp>[FA1_ivyerigx.xlsx]Income - Adjusted!R19C41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19" s="2"/>
      </tp>
      <tp t="s">
        <v>—</v>
        <stp/>
        <stp>##V3_BDHV12</stp>
        <stp>XOM US Equity</stp>
        <stp>BS_FUTURE_MIN_OPER_LEASE_OBLIG</stp>
        <stp>FQ2 2007</stp>
        <stp>FQ2 2007</stp>
        <stp>[FA1_ivyerigx.xlsx]Bal Sheet - Standardized!R56C38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6" s="3"/>
      </tp>
      <tp t="s">
        <v>—</v>
        <stp/>
        <stp>##V3_BDHV12</stp>
        <stp>XOM US Equity</stp>
        <stp>BS_FUTURE_MIN_OPER_LEASE_OBLIG</stp>
        <stp>FQ2 2005</stp>
        <stp>FQ2 2005</stp>
        <stp>[FA1_ivyerigx.xlsx]Bal Sheet - Standardized!R56C30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6" s="3"/>
      </tp>
      <tp t="s">
        <v>—</v>
        <stp/>
        <stp>##V3_BDHV12</stp>
        <stp>XOM US Equity</stp>
        <stp>BS_FUTURE_MIN_OPER_LEASE_OBLIG</stp>
        <stp>FQ3 2003</stp>
        <stp>FQ3 2003</stp>
        <stp>[FA1_ivyerigx.xlsx]Bal Sheet - Standardized!R56C23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6" s="3"/>
      </tp>
      <tp t="s">
        <v>—</v>
        <stp/>
        <stp>##V3_BDHV12</stp>
        <stp>XOM US Equity</stp>
        <stp>BS_FUTURE_MIN_OPER_LEASE_OBLIG</stp>
        <stp>FQ2 2006</stp>
        <stp>FQ2 2006</stp>
        <stp>[FA1_ivyerigx.xlsx]Bal Sheet - Standardized!R56C34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6" s="3"/>
      </tp>
      <tp t="s">
        <v>—</v>
        <stp/>
        <stp>##V3_BDHV12</stp>
        <stp>XOM US Equity</stp>
        <stp>BS_FUTURE_MIN_OPER_LEASE_OBLIG</stp>
        <stp>FQ3 2004</stp>
        <stp>FQ3 2004</stp>
        <stp>[FA1_ivyerigx.xlsx]Bal Sheet - Standardized!R56C27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6" s="3"/>
      </tp>
      <tp>
        <v>30178</v>
        <stp/>
        <stp>##V3_BDHV12</stp>
        <stp>XOM US Equity</stp>
        <stp>BS_CUR_LIAB</stp>
        <stp>FQ1 2002</stp>
        <stp>FQ1 2002</stp>
        <stp>[FA1_ivyerigx.xlsx]Bal Sheet - Standardized!R35C17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5" s="3"/>
      </tp>
      <tp>
        <v>16744</v>
        <stp/>
        <stp>##V3_BDHV12</stp>
        <stp>XOM US Equity</stp>
        <stp>GROSS_PROFIT</stp>
        <stp>FQ2 2000</stp>
        <stp>FQ2 2000</stp>
        <stp>[FA1_ivyerigx.xlsx]Income - Adjusted!R8C10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2"/>
      </tp>
      <tp>
        <v>18301</v>
        <stp/>
        <stp>##V3_BDHV12</stp>
        <stp>XOM US Equity</stp>
        <stp>GROSS_PROFIT</stp>
        <stp>FQ3 2000</stp>
        <stp>FQ3 2000</stp>
        <stp>[FA1_ivyerigx.xlsx]Income - Adjusted!R8C11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2"/>
      </tp>
      <tp>
        <v>50875</v>
        <stp/>
        <stp>##V3_BDHV12</stp>
        <stp>XOM US Equity</stp>
        <stp>BS_CUR_LIAB</stp>
        <stp>FQ3 2005</stp>
        <stp>FQ3 2005</stp>
        <stp>[FA1_ivyerigx.xlsx]Bal Sheet - Standardized!R35C31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5" s="3"/>
      </tp>
      <tp>
        <v>41248</v>
        <stp/>
        <stp>##V3_BDHV12</stp>
        <stp>XOM US Equity</stp>
        <stp>BS_CUR_LIAB</stp>
        <stp>FQ2 2004</stp>
        <stp>FQ2 2004</stp>
        <stp>[FA1_ivyerigx.xlsx]Bal Sheet - Standardized!R35C26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5" s="3"/>
      </tp>
      <tp>
        <v>54804</v>
        <stp/>
        <stp>##V3_BDHV12</stp>
        <stp>XOM US Equity</stp>
        <stp>BS_CUR_LIAB</stp>
        <stp>FQ3 2006</stp>
        <stp>FQ3 2006</stp>
        <stp>[FA1_ivyerigx.xlsx]Bal Sheet - Standardized!R35C35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5" s="3"/>
      </tp>
      <tp>
        <v>58312</v>
        <stp/>
        <stp>##V3_BDHV12</stp>
        <stp>XOM US Equity</stp>
        <stp>BS_CUR_LIAB</stp>
        <stp>FQ4 2007</stp>
        <stp>FQ4 2007</stp>
        <stp>[FA1_ivyerigx.xlsx]Bal Sheet - Standardized!R35C40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5" s="3"/>
      </tp>
      <tp>
        <v>37361</v>
        <stp/>
        <stp>##V3_BDHV12</stp>
        <stp>XOM US Equity</stp>
        <stp>BS_CUR_LIAB</stp>
        <stp>FQ1 2001</stp>
        <stp>FQ1 2001</stp>
        <stp>[FA1_ivyerigx.xlsx]Bal Sheet - Standardized!R35C13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5" s="3"/>
      </tp>
      <tp>
        <v>36648</v>
        <stp/>
        <stp>##V3_BDHV12</stp>
        <stp>XOM US Equity</stp>
        <stp>BS_CUR_LIAB</stp>
        <stp>FQ2 2003</stp>
        <stp>FQ2 2003</stp>
        <stp>[FA1_ivyerigx.xlsx]Bal Sheet - Standardized!R35C22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5" s="3"/>
      </tp>
      <tp>
        <v>55920</v>
        <stp/>
        <stp>##V3_BDHV12</stp>
        <stp>XOM US Equity</stp>
        <stp>BS_CUR_LIAB</stp>
        <stp>FQ3 2007</stp>
        <stp>FQ3 2007</stp>
        <stp>[FA1_ivyerigx.xlsx]Bal Sheet - Standardized!R35C39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5" s="3"/>
      </tp>
      <tp t="s">
        <v>—</v>
        <stp/>
        <stp>##V3_BDHV12</stp>
        <stp>XOM US Equity</stp>
        <stp>IS_FOREIGN_EXCH_LOSS</stp>
        <stp>FQ4 1999</stp>
        <stp>FQ4 1999</stp>
        <stp>[FA1_ivyerigx.xlsx]Income - Adjusted!R15C8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5" s="2"/>
      </tp>
      <tp>
        <v>46.895400000000002</v>
        <stp/>
        <stp>##V3_BDHV12</stp>
        <stp>XOM US Equity</stp>
        <stp>TCE_RATIO</stp>
        <stp>FQ2 1999</stp>
        <stp>FQ2 1999</stp>
        <stp>[FA1_ivyerigx.xlsx]Bal Sheet - Standardized!R62C6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2" s="3"/>
      </tp>
      <tp>
        <v>46.404400000000003</v>
        <stp/>
        <stp>##V3_BDHV12</stp>
        <stp>XOM US Equity</stp>
        <stp>TCE_RATIO</stp>
        <stp>FQ3 1999</stp>
        <stp>FQ3 1999</stp>
        <stp>[FA1_ivyerigx.xlsx]Bal Sheet - Standardized!R62C7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2" s="3"/>
      </tp>
      <tp>
        <v>47.294800000000002</v>
        <stp/>
        <stp>##V3_BDHV12</stp>
        <stp>XOM US Equity</stp>
        <stp>TCE_RATIO</stp>
        <stp>FQ1 1999</stp>
        <stp>FQ1 1999</stp>
        <stp>[FA1_ivyerigx.xlsx]Bal Sheet - Standardized!R62C5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2" s="3"/>
      </tp>
      <tp>
        <v>8892</v>
        <stp/>
        <stp>##V3_BDHV12</stp>
        <stp>XOM US Equity</stp>
        <stp>INVTRY_FINISHED_GOODS</stp>
        <stp>FQ1 2004</stp>
        <stp>FQ1 2004</stp>
        <stp>[FA1_ivyerigx.xlsx]Bal Sheet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3"/>
      </tp>
      <tp>
        <v>7444</v>
        <stp/>
        <stp>##V3_BDHV12</stp>
        <stp>XOM US Equity</stp>
        <stp>INVTRY_FINISHED_GOODS</stp>
        <stp>FQ2 2000</stp>
        <stp>FQ2 2000</stp>
        <stp>[FA1_ivyerigx.xlsx]Bal Sheet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3"/>
      </tp>
      <tp t="s">
        <v>—</v>
        <stp/>
        <stp>##V3_BDHV12</stp>
        <stp>XOM US Equity</stp>
        <stp>BS_ACCUM_DEPR</stp>
        <stp>FQ2 2005</stp>
        <stp>FQ2 2005</stp>
        <stp>[FA1_ivyerigx.xlsx]Bal Sheet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3"/>
      </tp>
      <tp>
        <v>7620</v>
        <stp/>
        <stp>##V3_BDHV12</stp>
        <stp>XOM US Equity</stp>
        <stp>INVTRY_FINISHED_GOODS</stp>
        <stp>FQ1 2003</stp>
        <stp>FQ1 2003</stp>
        <stp>[FA1_ivyerigx.xlsx]Bal Sheet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3"/>
      </tp>
      <tp t="s">
        <v>—</v>
        <stp/>
        <stp>##V3_BDHV12</stp>
        <stp>XOM US Equity</stp>
        <stp>BS_ACCUM_DEPR</stp>
        <stp>FQ2 2006</stp>
        <stp>FQ2 2006</stp>
        <stp>[FA1_ivyerigx.xlsx]Bal Sheet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3"/>
      </tp>
      <tp t="s">
        <v>—</v>
        <stp/>
        <stp>##V3_BDHV12</stp>
        <stp>XOM US Equity</stp>
        <stp>BS_ACCUM_DEPR</stp>
        <stp>FQ3 2004</stp>
        <stp>FQ3 2004</stp>
        <stp>[FA1_ivyerigx.xlsx]Bal Sheet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3"/>
      </tp>
      <tp t="s">
        <v>—</v>
        <stp/>
        <stp>##V3_BDHV12</stp>
        <stp>XOM US Equity</stp>
        <stp>BS_ACCUM_DEPR</stp>
        <stp>FQ3 2003</stp>
        <stp>FQ3 2003</stp>
        <stp>[FA1_ivyerigx.xlsx]Bal Sheet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3"/>
      </tp>
      <tp>
        <v>7293</v>
        <stp/>
        <stp>##V3_BDHV12</stp>
        <stp>XOM US Equity</stp>
        <stp>INVTRY_FINISHED_GOODS</stp>
        <stp>FQ2 2001</stp>
        <stp>FQ2 2001</stp>
        <stp>[FA1_ivyerigx.xlsx]Bal Sheet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3"/>
      </tp>
      <tp>
        <v>7412</v>
        <stp/>
        <stp>##V3_BDHV12</stp>
        <stp>XOM US Equity</stp>
        <stp>INVTRY_FINISHED_GOODS</stp>
        <stp>FQ2 2002</stp>
        <stp>FQ2 2002</stp>
        <stp>[FA1_ivyerigx.xlsx]Bal Sheet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3"/>
      </tp>
      <tp t="s">
        <v>—</v>
        <stp/>
        <stp>##V3_BDHV12</stp>
        <stp>XOM US Equity</stp>
        <stp>BS_ACCUM_DEPR</stp>
        <stp>FQ2 2007</stp>
        <stp>FQ2 2007</stp>
        <stp>[FA1_ivyerigx.xlsx]Bal Sheet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3"/>
      </tp>
      <tp>
        <v>9124</v>
        <stp/>
        <stp>##V3_BDHV12</stp>
        <stp>XOM US Equity</stp>
        <stp>INVTRY_FINISHED_GOODS</stp>
        <stp>FQ1 2005</stp>
        <stp>FQ1 2005</stp>
        <stp>[FA1_ivyerigx.xlsx]Bal Sheet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3"/>
      </tp>
      <tp>
        <v>4408</v>
        <stp/>
        <stp>##V3_BDHV12</stp>
        <stp>XOM US Equity</stp>
        <stp>PRETAX_INC</stp>
        <stp>FQ4 1999</stp>
        <stp>FQ4 1999</stp>
        <stp>[FA1_ivyerigx.xlsx]Income - Adjusted!R16C8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2"/>
      </tp>
      <tp>
        <v>43002</v>
        <stp/>
        <stp>##V3_BDHV12</stp>
        <stp>XOM US Equity</stp>
        <stp>EQTY_BEF_MINORITY_INT_DETAILED</stp>
        <stp>FQ1 1999</stp>
        <stp>FQ1 1999</stp>
        <stp>[FA1_ivyerigx.xlsx]Bal Sheet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3"/>
      </tp>
      <tp>
        <v>43834</v>
        <stp/>
        <stp>##V3_BDHV12</stp>
        <stp>XOM US Equity</stp>
        <stp>EQTY_BEF_MINORITY_INT_DETAILED</stp>
        <stp>FQ3 1999</stp>
        <stp>FQ3 1999</stp>
        <stp>[FA1_ivyerigx.xlsx]Bal Sheet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3"/>
      </tp>
      <tp>
        <v>42829</v>
        <stp/>
        <stp>##V3_BDHV12</stp>
        <stp>XOM US Equity</stp>
        <stp>EQTY_BEF_MINORITY_INT_DETAILED</stp>
        <stp>FQ2 1999</stp>
        <stp>FQ2 1999</stp>
        <stp>[FA1_ivyerigx.xlsx]Bal Sheet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3"/>
      </tp>
      <tp t="s">
        <v>—</v>
        <stp/>
        <stp>##V3_BDHV12</stp>
        <stp>XOM US Equity</stp>
        <stp>BS_OPTIONS_GRANTED</stp>
        <stp>FQ4 1999</stp>
        <stp>FQ4 1999</stp>
        <stp>[FA1_ivyerigx.xlsx]Bal Sheet - Standardized!R58C8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8" s="3"/>
      </tp>
      <tp>
        <v>43750</v>
        <stp/>
        <stp>##V3_BDHV12</stp>
        <stp>XOM US Equity</stp>
        <stp>EQTY_BEF_MINORITY_INT_DETAILED</stp>
        <stp>FQ4 1998</stp>
        <stp>FQ4 1998</stp>
        <stp>[FA1_ivyerigx.xlsx]Bal Sheet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3"/>
      </tp>
      <tp>
        <v>43884</v>
        <stp/>
        <stp>##V3_BDHV12</stp>
        <stp>XOM US Equity</stp>
        <stp>EQTY_BEF_MINORITY_INT_DETAILED</stp>
        <stp>FQ3 1998</stp>
        <stp>FQ3 1998</stp>
        <stp>[FA1_ivyerigx.xlsx]Bal Sheet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3"/>
      </tp>
      <tp>
        <v>63466</v>
        <stp/>
        <stp>##V3_BDHV12</stp>
        <stp>XOM US Equity</stp>
        <stp>EQTY_BEF_MINORITY_INT_DETAILED</stp>
        <stp>FQ4 1999</stp>
        <stp>FQ4 1999</stp>
        <stp>[FA1_ivyerigx.xlsx]Bal Sheet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3"/>
      </tp>
      <tp t="s">
        <v>—</v>
        <stp/>
        <stp>##V3_BDHV12</stp>
        <stp>XOM US Equity</stp>
        <stp>BS_OTHER_ASSETS_DEF_CHRG_OTHER</stp>
        <stp>FQ1 2006</stp>
        <stp>FQ1 2006</stp>
        <stp>[FA1_ivyerigx.xlsx]Bal Sheet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3"/>
      </tp>
      <tp>
        <v>7370</v>
        <stp/>
        <stp>##V3_BDHV12</stp>
        <stp>XOM US Equity</stp>
        <stp>BS_ST_BORROW</stp>
        <stp>FQ1 2000</stp>
        <stp>FQ1 2000</stp>
        <stp>[FA1_ivyerigx.xlsx]Bal Sheet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3"/>
      </tp>
      <tp t="s">
        <v>—</v>
        <stp/>
        <stp>##V3_BDHV12</stp>
        <stp>XOM US Equity</stp>
        <stp>BS_OTHER_ASSETS_DEF_CHRG_OTHER</stp>
        <stp>FQ3 2001</stp>
        <stp>FQ3 2001</stp>
        <stp>[FA1_ivyerigx.xlsx]Bal Sheet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3"/>
      </tp>
      <tp t="s">
        <v>—</v>
        <stp/>
        <stp>##V3_BDHV12</stp>
        <stp>XOM US Equity</stp>
        <stp>BS_OTHER_ASSETS_DEF_CHRG_OTHER</stp>
        <stp>FQ1 2007</stp>
        <stp>FQ1 2007</stp>
        <stp>[FA1_ivyerigx.xlsx]Bal Sheet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3"/>
      </tp>
      <tp t="s">
        <v>—</v>
        <stp/>
        <stp>##V3_BDHV12</stp>
        <stp>XOM US Equity</stp>
        <stp>BS_OTHER_ASSETS_DEF_CHRG_OTHER</stp>
        <stp>FQ3 2000</stp>
        <stp>FQ3 2000</stp>
        <stp>[FA1_ivyerigx.xlsx]Bal Sheet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3"/>
      </tp>
      <tp t="s">
        <v>—</v>
        <stp/>
        <stp>##V3_BDHV12</stp>
        <stp>XOM US Equity</stp>
        <stp>BS_OTHER_ASSETS_DEF_CHRG_OTHER</stp>
        <stp>FQ3 2002</stp>
        <stp>FQ3 2002</stp>
        <stp>[FA1_ivyerigx.xlsx]Bal Sheet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3"/>
      </tp>
      <tp>
        <v>43</v>
        <stp/>
        <stp>##V3_BDHV12</stp>
        <stp>XOM US Equity</stp>
        <stp>DISP_FXD_&amp;_INTANGIBLES_DETAILED</stp>
        <stp>FQ3 1998</stp>
        <stp>FQ3 1998</stp>
        <stp>[FA1_ivyerigx.xlsx]Cash Flow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4"/>
      </tp>
      <tp>
        <v>0</v>
        <stp/>
        <stp>##V3_BDHV12</stp>
        <stp>XOM US Equity</stp>
        <stp>DISP_FXD_&amp;_INTANGIBLES_DETAILED</stp>
        <stp>FQ4 1998</stp>
        <stp>FQ4 1998</stp>
        <stp>[FA1_ivyerigx.xlsx]Cash Flow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4"/>
      </tp>
      <tp>
        <v>8304</v>
        <stp/>
        <stp>##V3_BDHV12</stp>
        <stp>XOM US Equity</stp>
        <stp>BS_INVENTORIES</stp>
        <stp>FQ4 2000</stp>
        <stp>FQ4 2000</stp>
        <stp>[FA1_ivyerigx.xlsx]Bal Sheet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3"/>
      </tp>
      <tp t="s">
        <v>—</v>
        <stp/>
        <stp>##V3_BDHV12</stp>
        <stp>XOM US Equity</stp>
        <stp>BS_FUTURE_MIN_OPER_LEASE_OBLIG</stp>
        <stp>FQ3 2007</stp>
        <stp>FQ3 2007</stp>
        <stp>[FA1_ivyerigx.xlsx]Bal Sheet - Standardized!R56C39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6" s="3"/>
      </tp>
      <tp>
        <v>204</v>
        <stp/>
        <stp>##V3_BDHV12</stp>
        <stp>XOM US Equity</stp>
        <stp>DISP_FXD_&amp;_INTANGIBLES_DETAILED</stp>
        <stp>FQ1 1999</stp>
        <stp>FQ1 1999</stp>
        <stp>[FA1_ivyerigx.xlsx]Cash Flow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4"/>
      </tp>
      <tp>
        <v>237</v>
        <stp/>
        <stp>##V3_BDHV12</stp>
        <stp>XOM US Equity</stp>
        <stp>DISP_FXD_&amp;_INTANGIBLES_DETAILED</stp>
        <stp>FQ2 1999</stp>
        <stp>FQ2 1999</stp>
        <stp>[FA1_ivyerigx.xlsx]Cash Flow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4"/>
      </tp>
      <tp>
        <v>55</v>
        <stp/>
        <stp>##V3_BDHV12</stp>
        <stp>XOM US Equity</stp>
        <stp>DISP_FXD_&amp;_INTANGIBLES_DETAILED</stp>
        <stp>FQ3 1999</stp>
        <stp>FQ3 1999</stp>
        <stp>[FA1_ivyerigx.xlsx]Cash Flow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4"/>
      </tp>
      <tp>
        <v>7904</v>
        <stp/>
        <stp>##V3_BDHV12</stp>
        <stp>XOM US Equity</stp>
        <stp>BS_INVENTORIES</stp>
        <stp>FQ4 2001</stp>
        <stp>FQ4 2001</stp>
        <stp>[FA1_ivyerigx.xlsx]Bal Sheet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3"/>
      </tp>
      <tp>
        <v>20005</v>
        <stp/>
        <stp>##V3_BDHV12</stp>
        <stp>XOM US Equity</stp>
        <stp>PRETAX_INC</stp>
        <stp>FQ4 2007</stp>
        <stp>FQ4 2007</stp>
        <stp>[FA1_ivyerigx.xlsx]Income - Adjusted!R16C40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6" s="2"/>
      </tp>
      <tp>
        <v>9498</v>
        <stp/>
        <stp>##V3_BDHV12</stp>
        <stp>XOM US Equity</stp>
        <stp>PRETAX_INC</stp>
        <stp>FQ4 2003</stp>
        <stp>FQ4 2003</stp>
        <stp>[FA1_ivyerigx.xlsx]Income - Adjusted!R16C24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6" s="2"/>
      </tp>
      <tp>
        <v>3936</v>
        <stp/>
        <stp>##V3_BDHV12</stp>
        <stp>XOM US Equity</stp>
        <stp>PRETAX_INC</stp>
        <stp>FQ4 2001</stp>
        <stp>FQ4 2001</stp>
        <stp>[FA1_ivyerigx.xlsx]Income - Adjusted!R16C16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6" s="2"/>
      </tp>
      <tp>
        <v>18049</v>
        <stp/>
        <stp>##V3_BDHV12</stp>
        <stp>XOM US Equity</stp>
        <stp>PRETAX_INC</stp>
        <stp>FQ4 2005</stp>
        <stp>FQ4 2005</stp>
        <stp>[FA1_ivyerigx.xlsx]Income - Adjusted!R16C32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6" s="2"/>
      </tp>
      <tp t="s">
        <v>—</v>
        <stp/>
        <stp>##V3_BDHV12</stp>
        <stp>XOM US Equity</stp>
        <stp>BS_FUTURE_MIN_OPER_LEASE_OBLIG</stp>
        <stp>FQ3 2005</stp>
        <stp>FQ3 2005</stp>
        <stp>[FA1_ivyerigx.xlsx]Bal Sheet - Standardized!R56C31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6" s="3"/>
      </tp>
      <tp>
        <v>290</v>
        <stp/>
        <stp>##V3_BDHV12</stp>
        <stp>XOM US Equity</stp>
        <stp>IS_ABNORMAL_ITEM</stp>
        <stp>FQ2 2008</stp>
        <stp>FQ2 2008</stp>
        <stp>[FA1_ivyerigx.xlsx]Income - Adjusted!R17C42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7" s="2"/>
      </tp>
      <tp t="s">
        <v>—</v>
        <stp/>
        <stp>##V3_BDHV12</stp>
        <stp>XOM US Equity</stp>
        <stp>BS_FUTURE_MIN_OPER_LEASE_OBLIG</stp>
        <stp>FQ1 2002</stp>
        <stp>FQ1 2002</stp>
        <stp>[FA1_ivyerigx.xlsx]Bal Sheet - Standardized!R56C17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6" s="3"/>
      </tp>
      <tp>
        <v>358</v>
        <stp/>
        <stp>##V3_BDHV12</stp>
        <stp>XOM US Equity</stp>
        <stp>DISP_FXD_&amp;_INTANGIBLES_DETAILED</stp>
        <stp>FQ4 1999</stp>
        <stp>FQ4 1999</stp>
        <stp>[FA1_ivyerigx.xlsx]Cash Flow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4"/>
      </tp>
      <tp>
        <v>15378</v>
        <stp/>
        <stp>##V3_BDHV12</stp>
        <stp>XOM US Equity</stp>
        <stp>BS_INVENTORIES</stp>
        <stp>FQ1 2008</stp>
        <stp>FQ1 2008</stp>
        <stp>[FA1_ivyerigx.xlsx]Bal Sheet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3"/>
      </tp>
      <tp>
        <v>8009</v>
        <stp/>
        <stp>##V3_BDHV12</stp>
        <stp>XOM US Equity</stp>
        <stp>BS_LT_BORROW</stp>
        <stp>FQ1 2000</stp>
        <stp>FQ1 2000</stp>
        <stp>[FA1_ivyerigx.xlsx]Bal Sheet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3"/>
      </tp>
      <tp>
        <v>9725</v>
        <stp/>
        <stp>##V3_BDHV12</stp>
        <stp>XOM US Equity</stp>
        <stp>BS_FUTURE_MIN_OPER_LEASE_OBLIG</stp>
        <stp>FQ4 2007</stp>
        <stp>FQ4 2007</stp>
        <stp>[FA1_ivyerigx.xlsx]Bal Sheet - Standardized!R56C40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6" s="3"/>
      </tp>
      <tp t="s">
        <v>—</v>
        <stp/>
        <stp>##V3_BDHV12</stp>
        <stp>XOM US Equity</stp>
        <stp>BS_FUTURE_MIN_OPER_LEASE_OBLIG</stp>
        <stp>FQ2 2003</stp>
        <stp>FQ2 2003</stp>
        <stp>[FA1_ivyerigx.xlsx]Bal Sheet - Standardized!R56C22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6" s="3"/>
      </tp>
      <tp t="s">
        <v>—</v>
        <stp/>
        <stp>##V3_BDHV12</stp>
        <stp>XOM US Equity</stp>
        <stp>BS_FUTURE_MIN_OPER_LEASE_OBLIG</stp>
        <stp>FQ1 2001</stp>
        <stp>FQ1 2001</stp>
        <stp>[FA1_ivyerigx.xlsx]Bal Sheet - Standardized!R56C13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6" s="3"/>
      </tp>
      <tp t="s">
        <v>—</v>
        <stp/>
        <stp>##V3_BDHV12</stp>
        <stp>XOM US Equity</stp>
        <stp>BS_FUTURE_MIN_OPER_LEASE_OBLIG</stp>
        <stp>FQ3 2006</stp>
        <stp>FQ3 2006</stp>
        <stp>[FA1_ivyerigx.xlsx]Bal Sheet - Standardized!R56C35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6" s="3"/>
      </tp>
      <tp t="s">
        <v>—</v>
        <stp/>
        <stp>##V3_BDHV12</stp>
        <stp>XOM US Equity</stp>
        <stp>BS_FUTURE_MIN_OPER_LEASE_OBLIG</stp>
        <stp>FQ2 2004</stp>
        <stp>FQ2 2004</stp>
        <stp>[FA1_ivyerigx.xlsx]Bal Sheet - Standardized!R56C26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6" s="3"/>
      </tp>
      <tp>
        <v>18939</v>
        <stp/>
        <stp>##V3_BDHV12</stp>
        <stp>XOM US Equity</stp>
        <stp>GROSS_PROFIT</stp>
        <stp>FQ1 2001</stp>
        <stp>FQ1 2001</stp>
        <stp>[FA1_ivyerigx.xlsx]Income - Adjusted!R8C13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8" s="2"/>
      </tp>
      <tp>
        <v>7278</v>
        <stp/>
        <stp>##V3_BDHV12</stp>
        <stp>XOM US Equity</stp>
        <stp>GROSS_PROFIT</stp>
        <stp>FQ4 2001</stp>
        <stp>FQ4 2001</stp>
        <stp>[FA1_ivyerigx.xlsx]Income - Adjusted!R8C16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8" s="2"/>
      </tp>
      <tp>
        <v>6956</v>
        <stp/>
        <stp>##V3_BDHV12</stp>
        <stp>XOM US Equity</stp>
        <stp>IS_AVG_NUM_SH_FOR_EPS</stp>
        <stp>FQ1 2000</stp>
        <stp>FQ1 2000</stp>
        <stp>[FA1_ivyerigx.xlsx]Income - Adjusted!R33C9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3" s="2"/>
      </tp>
      <tp>
        <v>18757</v>
        <stp/>
        <stp>##V3_BDHV12</stp>
        <stp>XOM US Equity</stp>
        <stp>GROSS_PROFIT</stp>
        <stp>FQ1 2003</stp>
        <stp>FQ1 2003</stp>
        <stp>[FA1_ivyerigx.xlsx]Income - Adjusted!R8C21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8" s="2"/>
      </tp>
      <tp>
        <v>18107</v>
        <stp/>
        <stp>##V3_BDHV12</stp>
        <stp>XOM US Equity</stp>
        <stp>GROSS_PROFIT</stp>
        <stp>FQ3 2003</stp>
        <stp>FQ3 2003</stp>
        <stp>[FA1_ivyerigx.xlsx]Income - Adjusted!R8C23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8" s="2"/>
      </tp>
      <tp>
        <v>18555</v>
        <stp/>
        <stp>##V3_BDHV12</stp>
        <stp>XOM US Equity</stp>
        <stp>GROSS_PROFIT</stp>
        <stp>FQ2 2003</stp>
        <stp>FQ2 2003</stp>
        <stp>[FA1_ivyerigx.xlsx]Income - Adjusted!R8C22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8" s="2"/>
      </tp>
      <tp>
        <v>19815</v>
        <stp/>
        <stp>##V3_BDHV12</stp>
        <stp>XOM US Equity</stp>
        <stp>GROSS_PROFIT</stp>
        <stp>FQ4 2003</stp>
        <stp>FQ4 2003</stp>
        <stp>[FA1_ivyerigx.xlsx]Income - Adjusted!R8C24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8" s="2"/>
      </tp>
      <tp>
        <v>46629</v>
        <stp/>
        <stp>##V3_BDHV12</stp>
        <stp>XOM US Equity</stp>
        <stp>BS_CUR_LIAB</stp>
        <stp>FQ2 2005</stp>
        <stp>FQ2 2005</stp>
        <stp>[FA1_ivyerigx.xlsx]Bal Sheet - Standardized!R35C30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5" s="3"/>
      </tp>
      <tp>
        <v>44195</v>
        <stp/>
        <stp>##V3_BDHV12</stp>
        <stp>XOM US Equity</stp>
        <stp>BS_CUR_LIAB</stp>
        <stp>FQ3 2004</stp>
        <stp>FQ3 2004</stp>
        <stp>[FA1_ivyerigx.xlsx]Bal Sheet - Standardized!R35C27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5" s="3"/>
      </tp>
      <tp>
        <v>51554</v>
        <stp/>
        <stp>##V3_BDHV12</stp>
        <stp>XOM US Equity</stp>
        <stp>BS_CUR_LIAB</stp>
        <stp>FQ2 2006</stp>
        <stp>FQ2 2006</stp>
        <stp>[FA1_ivyerigx.xlsx]Bal Sheet - Standardized!R35C34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5" s="3"/>
      </tp>
      <tp>
        <v>29012</v>
        <stp/>
        <stp>##V3_BDHV12</stp>
        <stp>XOM US Equity</stp>
        <stp>GROSS_PROFIT</stp>
        <stp>FQ4 2005</stp>
        <stp>FQ4 2005</stp>
        <stp>[FA1_ivyerigx.xlsx]Income - Adjusted!R8C32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8" s="2"/>
      </tp>
      <tp>
        <v>20005</v>
        <stp/>
        <stp>##V3_BDHV12</stp>
        <stp>XOM US Equity</stp>
        <stp>GROSS_PROFIT</stp>
        <stp>FQ4 2007</stp>
        <stp>FQ4 2007</stp>
        <stp>[FA1_ivyerigx.xlsx]Income - Adjusted!R8C40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8" s="2"/>
      </tp>
      <tp>
        <v>38641</v>
        <stp/>
        <stp>##V3_BDHV12</stp>
        <stp>XOM US Equity</stp>
        <stp>BS_CUR_LIAB</stp>
        <stp>FQ3 2003</stp>
        <stp>FQ3 2003</stp>
        <stp>[FA1_ivyerigx.xlsx]Bal Sheet - Standardized!R35C23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5" s="3"/>
      </tp>
      <tp>
        <v>51916</v>
        <stp/>
        <stp>##V3_BDHV12</stp>
        <stp>XOM US Equity</stp>
        <stp>BS_CUR_LIAB</stp>
        <stp>FQ2 2007</stp>
        <stp>FQ2 2007</stp>
        <stp>[FA1_ivyerigx.xlsx]Bal Sheet - Standardized!R35C38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5" s="3"/>
      </tp>
      <tp>
        <v>7044</v>
        <stp/>
        <stp>##V3_BDHV12</stp>
        <stp>XOM US Equity</stp>
        <stp>IS_SH_FOR_DILUTED_EPS</stp>
        <stp>FQ1 2000</stp>
        <stp>FQ1 2000</stp>
        <stp>[FA1_ivyerigx.xlsx]Income - Adjusted!R38C9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8" s="2"/>
      </tp>
      <tp>
        <v>0.48</v>
        <stp/>
        <stp>##V3_BDHV12</stp>
        <stp>XOM US Equity</stp>
        <stp>IS_BASIC_EPS_CONT_OPS</stp>
        <stp>FQ1 2000</stp>
        <stp>FQ1 2000</stp>
        <stp>[FA1_ivyerigx.xlsx]Income - Adjusted!R36C9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6" s="2"/>
      </tp>
      <tp t="s">
        <v>—</v>
        <stp/>
        <stp>##V3_BDHV12</stp>
        <stp>XOM US Equity</stp>
        <stp>BS_ACCUM_DEPR</stp>
        <stp>FQ1 2002</stp>
        <stp>FQ1 2002</stp>
        <stp>[FA1_ivyerigx.xlsx]Bal Sheet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3"/>
      </tp>
      <tp>
        <v>10759</v>
        <stp/>
        <stp>##V3_BDHV12</stp>
        <stp>XOM US Equity</stp>
        <stp>INVTRY_FINISHED_GOODS</stp>
        <stp>FQ1 2007</stp>
        <stp>FQ1 2007</stp>
        <stp>[FA1_ivyerigx.xlsx]Bal Sheet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3"/>
      </tp>
      <tp>
        <v>7446</v>
        <stp/>
        <stp>##V3_BDHV12</stp>
        <stp>XOM US Equity</stp>
        <stp>INVTRY_FINISHED_GOODS</stp>
        <stp>FQ3 2000</stp>
        <stp>FQ3 2000</stp>
        <stp>[FA1_ivyerigx.xlsx]Bal Sheet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3"/>
      </tp>
      <tp t="s">
        <v>—</v>
        <stp/>
        <stp>##V3_BDHV12</stp>
        <stp>XOM US Equity</stp>
        <stp>BS_ACCUM_DEPR</stp>
        <stp>FQ3 2005</stp>
        <stp>FQ3 2005</stp>
        <stp>[FA1_ivyerigx.xlsx]Bal Sheet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3"/>
      </tp>
      <tp t="s">
        <v>—</v>
        <stp/>
        <stp>##V3_BDHV12</stp>
        <stp>XOM US Equity</stp>
        <stp>BS_ACCUM_DEPR</stp>
        <stp>FQ3 2006</stp>
        <stp>FQ3 2006</stp>
        <stp>[FA1_ivyerigx.xlsx]Bal Sheet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3"/>
      </tp>
      <tp>
        <v>10048</v>
        <stp/>
        <stp>##V3_BDHV12</stp>
        <stp>XOM US Equity</stp>
        <stp>INVTRY_FINISHED_GOODS</stp>
        <stp>FQ1 2006</stp>
        <stp>FQ1 2006</stp>
        <stp>[FA1_ivyerigx.xlsx]Bal Sheet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3"/>
      </tp>
      <tp t="s">
        <v>—</v>
        <stp/>
        <stp>##V3_BDHV12</stp>
        <stp>XOM US Equity</stp>
        <stp>BS_ACCUM_DEPR</stp>
        <stp>FQ2 2004</stp>
        <stp>FQ2 2004</stp>
        <stp>[FA1_ivyerigx.xlsx]Bal Sheet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3"/>
      </tp>
      <tp>
        <v>159471</v>
        <stp/>
        <stp>##V3_BDHV12</stp>
        <stp>XOM US Equity</stp>
        <stp>BS_ACCUM_DEPR</stp>
        <stp>FQ4 2007</stp>
        <stp>FQ4 2007</stp>
        <stp>[FA1_ivyerigx.xlsx]Bal Sheet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3"/>
      </tp>
      <tp t="s">
        <v>—</v>
        <stp/>
        <stp>##V3_BDHV12</stp>
        <stp>XOM US Equity</stp>
        <stp>BS_ACCUM_DEPR</stp>
        <stp>FQ2 2003</stp>
        <stp>FQ2 2003</stp>
        <stp>[FA1_ivyerigx.xlsx]Bal Sheet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3"/>
      </tp>
      <tp t="s">
        <v>—</v>
        <stp/>
        <stp>##V3_BDHV12</stp>
        <stp>XOM US Equity</stp>
        <stp>BS_ACCUM_DEPR</stp>
        <stp>FQ1 2001</stp>
        <stp>FQ1 2001</stp>
        <stp>[FA1_ivyerigx.xlsx]Bal Sheet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3"/>
      </tp>
      <tp>
        <v>7470</v>
        <stp/>
        <stp>##V3_BDHV12</stp>
        <stp>XOM US Equity</stp>
        <stp>INVTRY_FINISHED_GOODS</stp>
        <stp>FQ3 2001</stp>
        <stp>FQ3 2001</stp>
        <stp>[FA1_ivyerigx.xlsx]Bal Sheet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3"/>
      </tp>
      <tp>
        <v>7472</v>
        <stp/>
        <stp>##V3_BDHV12</stp>
        <stp>XOM US Equity</stp>
        <stp>INVTRY_FINISHED_GOODS</stp>
        <stp>FQ3 2002</stp>
        <stp>FQ3 2002</stp>
        <stp>[FA1_ivyerigx.xlsx]Bal Sheet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3"/>
      </tp>
      <tp t="s">
        <v>—</v>
        <stp/>
        <stp>##V3_BDHV12</stp>
        <stp>XOM US Equity</stp>
        <stp>BS_ACCUM_DEPR</stp>
        <stp>FQ3 2007</stp>
        <stp>FQ3 2007</stp>
        <stp>[FA1_ivyerigx.xlsx]Bal Sheet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3"/>
      </tp>
      <tp>
        <v>8184</v>
        <stp/>
        <stp>##V3_BDHV12</stp>
        <stp>XOM US Equity</stp>
        <stp>BS_INVENTORIES</stp>
        <stp>FQ1 2000</stp>
        <stp>FQ1 2000</stp>
        <stp>[FA1_ivyerigx.xlsx]Bal Sheet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3"/>
      </tp>
      <tp>
        <v>25971</v>
        <stp/>
        <stp>##V3_BDHV12</stp>
        <stp>XOM US Equity</stp>
        <stp>BS_OTHER_ASSETS_DEF_CHRG_OTHER</stp>
        <stp>FQ2 2005</stp>
        <stp>FQ2 2005</stp>
        <stp>[FA1_ivyerigx.xlsx]Bal Sheet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3"/>
      </tp>
      <tp t="s">
        <v>—</v>
        <stp/>
        <stp>##V3_BDHV12</stp>
        <stp>XOM US Equity</stp>
        <stp>BS_OTHER_ASSETS_DEF_CHRG_OTHER</stp>
        <stp>FQ2 2006</stp>
        <stp>FQ2 2006</stp>
        <stp>[FA1_ivyerigx.xlsx]Bal Sheet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3"/>
      </tp>
      <tp t="s">
        <v>—</v>
        <stp/>
        <stp>##V3_BDHV12</stp>
        <stp>XOM US Equity</stp>
        <stp>BS_OTHER_ASSETS_DEF_CHRG_OTHER</stp>
        <stp>FQ3 2004</stp>
        <stp>FQ3 2004</stp>
        <stp>[FA1_ivyerigx.xlsx]Bal Sheet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3"/>
      </tp>
      <tp t="s">
        <v>—</v>
        <stp/>
        <stp>##V3_BDHV12</stp>
        <stp>XOM US Equity</stp>
        <stp>BS_OTHER_ASSETS_DEF_CHRG_OTHER</stp>
        <stp>FQ3 2003</stp>
        <stp>FQ3 2003</stp>
        <stp>[FA1_ivyerigx.xlsx]Bal Sheet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3"/>
      </tp>
      <tp>
        <v>31537</v>
        <stp/>
        <stp>##V3_BDHV12</stp>
        <stp>XOM US Equity</stp>
        <stp>BS_OTHER_ASSETS_DEF_CHRG_OTHER</stp>
        <stp>FQ2 2007</stp>
        <stp>FQ2 2007</stp>
        <stp>[FA1_ivyerigx.xlsx]Bal Sheet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3"/>
      </tp>
      <tp>
        <v>1858</v>
        <stp/>
        <stp>##V3_BDHV12</stp>
        <stp>XOM US Equity</stp>
        <stp>IS_INC_TAX_EXP</stp>
        <stp>FQ3 2002</stp>
        <stp>FQ3 2002</stp>
        <stp>[FA1_ivyerigx.xlsx]Income - Adjusted!R19C19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9" s="2"/>
      </tp>
      <tp>
        <v>8068</v>
        <stp/>
        <stp>##V3_BDHV12</stp>
        <stp>XOM US Equity</stp>
        <stp>BS_INVENTORIES</stp>
        <stp>FQ4 2002</stp>
        <stp>FQ4 2002</stp>
        <stp>[FA1_ivyerigx.xlsx]Bal Sheet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3"/>
      </tp>
      <tp t="s">
        <v>—</v>
        <stp/>
        <stp>##V3_BDHV12</stp>
        <stp>XOM US Equity</stp>
        <stp>EQY_FLOAT</stp>
        <stp>FQ4 1999</stp>
        <stp>FQ4 1999</stp>
        <stp>[FA1_ivyerigx.xlsx]Stock Value!R14C8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4" s="6"/>
      </tp>
      <tp t="s">
        <v>—</v>
        <stp/>
        <stp>##V3_BDHV12</stp>
        <stp>XOM US Equity</stp>
        <stp>BS_FUTURE_MIN_OPER_LEASE_OBLIG</stp>
        <stp>FQ1 2005</stp>
        <stp>FQ1 2005</stp>
        <stp>[FA1_ivyerigx.xlsx]Bal Sheet - Standardized!R56C29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6" s="3"/>
      </tp>
      <tp t="s">
        <v>—</v>
        <stp/>
        <stp>##V3_BDHV12</stp>
        <stp>XOM US Equity</stp>
        <stp>BS_FUTURE_MIN_OPER_LEASE_OBLIG</stp>
        <stp>FQ2 2002</stp>
        <stp>FQ2 2002</stp>
        <stp>[FA1_ivyerigx.xlsx]Bal Sheet - Standardized!R56C18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6" s="3"/>
      </tp>
      <tp>
        <v>8957</v>
        <stp/>
        <stp>##V3_BDHV12</stp>
        <stp>XOM US Equity</stp>
        <stp>BS_INVENTORIES</stp>
        <stp>FQ4 2003</stp>
        <stp>FQ4 2003</stp>
        <stp>[FA1_ivyerigx.xlsx]Bal Sheet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3"/>
      </tp>
      <tp t="s">
        <v>—</v>
        <stp/>
        <stp>##V3_BDHV12</stp>
        <stp>XOM US Equity</stp>
        <stp>IS_ABNORMAL_ITEM</stp>
        <stp>FQ1 2008</stp>
        <stp>FQ1 2008</stp>
        <stp>[FA1_ivyerigx.xlsx]Income - Adjusted!R17C41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7" s="2"/>
      </tp>
      <tp>
        <v>16226</v>
        <stp/>
        <stp>##V3_BDHV12</stp>
        <stp>XOM US Equity</stp>
        <stp>PRETAX_INC</stp>
        <stp>FQ3 2005</stp>
        <stp>FQ3 2005</stp>
        <stp>[FA1_ivyerigx.xlsx]Income - Adjusted!R16C31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6" s="2"/>
      </tp>
      <tp>
        <v>5365</v>
        <stp/>
        <stp>##V3_BDHV12</stp>
        <stp>XOM US Equity</stp>
        <stp>PRETAX_INC</stp>
        <stp>FQ3 2001</stp>
        <stp>FQ3 2001</stp>
        <stp>[FA1_ivyerigx.xlsx]Income - Adjusted!R16C15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6" s="2"/>
      </tp>
      <tp t="s">
        <v>—</v>
        <stp/>
        <stp>##V3_BDHV12</stp>
        <stp>XOM US Equity</stp>
        <stp>BS_FUTURE_MIN_OPER_LEASE_OBLIG</stp>
        <stp>FQ2 2001</stp>
        <stp>FQ2 2001</stp>
        <stp>[FA1_ivyerigx.xlsx]Bal Sheet - Standardized!R56C14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6" s="3"/>
      </tp>
      <tp>
        <v>15861</v>
        <stp/>
        <stp>##V3_BDHV12</stp>
        <stp>XOM US Equity</stp>
        <stp>BS_INVENTORIES</stp>
        <stp>FQ2 2008</stp>
        <stp>FQ2 2008</stp>
        <stp>[FA1_ivyerigx.xlsx]Bal Sheet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3"/>
      </tp>
      <tp>
        <v>9487</v>
        <stp/>
        <stp>##V3_BDHV12</stp>
        <stp>XOM US Equity</stp>
        <stp>BS_INVENTORIES</stp>
        <stp>FQ4 2004</stp>
        <stp>FQ4 2004</stp>
        <stp>[FA1_ivyerigx.xlsx]Bal Sheet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3"/>
      </tp>
      <tp t="s">
        <v>—</v>
        <stp/>
        <stp>##V3_BDHV12</stp>
        <stp>XOM US Equity</stp>
        <stp>BS_FUTURE_MIN_OPER_LEASE_OBLIG</stp>
        <stp>FQ2 2000</stp>
        <stp>FQ2 2000</stp>
        <stp>[FA1_ivyerigx.xlsx]Bal Sheet - Standardized!R56C10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6" s="3"/>
      </tp>
      <tp t="s">
        <v>—</v>
        <stp/>
        <stp>##V3_BDHV12</stp>
        <stp>XOM US Equity</stp>
        <stp>BS_FUTURE_MIN_OPER_LEASE_OBLIG</stp>
        <stp>FQ1 2003</stp>
        <stp>FQ1 2003</stp>
        <stp>[FA1_ivyerigx.xlsx]Bal Sheet - Standardized!R56C21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6" s="3"/>
      </tp>
      <tp t="s">
        <v>—</v>
        <stp/>
        <stp>##V3_BDHV12</stp>
        <stp>XOM US Equity</stp>
        <stp>BS_FUTURE_MIN_OPER_LEASE_OBLIG</stp>
        <stp>FQ1 2004</stp>
        <stp>FQ1 2004</stp>
        <stp>[FA1_ivyerigx.xlsx]Bal Sheet - Standardized!R56C25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6" s="3"/>
      </tp>
      <tp>
        <v>30232</v>
        <stp/>
        <stp>##V3_BDHV12</stp>
        <stp>XOM US Equity</stp>
        <stp>OTHER_NONCUR_LIABS_SUB_DETAILED</stp>
        <stp>FQ4 1999</stp>
        <stp>FQ4 1999</stp>
        <stp>[FA1_ivyerigx.xlsx]Bal Sheet - Standardized!R37C8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7" s="3"/>
      </tp>
      <tp>
        <v>51434</v>
        <stp/>
        <stp>##V3_BDHV12</stp>
        <stp>XOM US Equity</stp>
        <stp>BS_CUR_LIAB</stp>
        <stp>FQ1 2006</stp>
        <stp>FQ1 2006</stp>
        <stp>[FA1_ivyerigx.xlsx]Bal Sheet - Standardized!R35C33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5" s="3"/>
      </tp>
      <tp>
        <v>34565</v>
        <stp/>
        <stp>##V3_BDHV12</stp>
        <stp>XOM US Equity</stp>
        <stp>BS_CUR_LIAB</stp>
        <stp>FQ3 2001</stp>
        <stp>FQ3 2001</stp>
        <stp>[FA1_ivyerigx.xlsx]Bal Sheet - Standardized!R35C15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5" s="3"/>
      </tp>
      <tp>
        <v>50590</v>
        <stp/>
        <stp>##V3_BDHV12</stp>
        <stp>XOM US Equity</stp>
        <stp>BS_CUR_LIAB</stp>
        <stp>FQ1 2007</stp>
        <stp>FQ1 2007</stp>
        <stp>[FA1_ivyerigx.xlsx]Bal Sheet - Standardized!R35C37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5" s="3"/>
      </tp>
      <tp>
        <v>21203</v>
        <stp/>
        <stp>##V3_BDHV12</stp>
        <stp>XOM US Equity</stp>
        <stp>GROSS_PROFIT</stp>
        <stp>FQ1 2004</stp>
        <stp>FQ1 2004</stp>
        <stp>[FA1_ivyerigx.xlsx]Income - Adjusted!R8C25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8" s="2"/>
      </tp>
      <tp>
        <v>22610</v>
        <stp/>
        <stp>##V3_BDHV12</stp>
        <stp>XOM US Equity</stp>
        <stp>GROSS_PROFIT</stp>
        <stp>FQ3 2004</stp>
        <stp>FQ3 2004</stp>
        <stp>[FA1_ivyerigx.xlsx]Income - Adjusted!R8C27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8" s="2"/>
      </tp>
      <tp>
        <v>21688</v>
        <stp/>
        <stp>##V3_BDHV12</stp>
        <stp>XOM US Equity</stp>
        <stp>GROSS_PROFIT</stp>
        <stp>FQ2 2004</stp>
        <stp>FQ2 2004</stp>
        <stp>[FA1_ivyerigx.xlsx]Income - Adjusted!R8C26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8" s="2"/>
      </tp>
      <tp>
        <v>39775</v>
        <stp/>
        <stp>##V3_BDHV12</stp>
        <stp>XOM US Equity</stp>
        <stp>BS_CUR_LIAB</stp>
        <stp>FQ3 2000</stp>
        <stp>FQ3 2000</stp>
        <stp>[FA1_ivyerigx.xlsx]Bal Sheet - Standardized!R35C11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5" s="3"/>
      </tp>
      <tp>
        <v>19287</v>
        <stp/>
        <stp>##V3_BDHV12</stp>
        <stp>XOM US Equity</stp>
        <stp>GROSS_PROFIT</stp>
        <stp>FQ2 2006</stp>
        <stp>FQ2 2006</stp>
        <stp>[FA1_ivyerigx.xlsx]Income - Adjusted!R8C34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8" s="2"/>
      </tp>
      <tp>
        <v>19190</v>
        <stp/>
        <stp>##V3_BDHV12</stp>
        <stp>XOM US Equity</stp>
        <stp>GROSS_PROFIT</stp>
        <stp>FQ3 2006</stp>
        <stp>FQ3 2006</stp>
        <stp>[FA1_ivyerigx.xlsx]Income - Adjusted!R8C35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8" s="2"/>
      </tp>
      <tp>
        <v>24294</v>
        <stp/>
        <stp>##V3_BDHV12</stp>
        <stp>XOM US Equity</stp>
        <stp>OTHER_NONCUR_LIABS_SUB_DETAILED</stp>
        <stp>FQ1 1999</stp>
        <stp>FQ1 1999</stp>
        <stp>[FA1_ivyerigx.xlsx]Bal Sheet - Standardized!R37C5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7" s="3"/>
      </tp>
      <tp>
        <v>24556</v>
        <stp/>
        <stp>##V3_BDHV12</stp>
        <stp>XOM US Equity</stp>
        <stp>OTHER_NONCUR_LIABS_SUB_DETAILED</stp>
        <stp>FQ3 1999</stp>
        <stp>FQ3 1999</stp>
        <stp>[FA1_ivyerigx.xlsx]Bal Sheet - Standardized!R37C7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7" s="3"/>
      </tp>
      <tp>
        <v>24199</v>
        <stp/>
        <stp>##V3_BDHV12</stp>
        <stp>XOM US Equity</stp>
        <stp>OTHER_NONCUR_LIABS_SUB_DETAILED</stp>
        <stp>FQ2 1999</stp>
        <stp>FQ2 1999</stp>
        <stp>[FA1_ivyerigx.xlsx]Bal Sheet - Standardized!R37C6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7" s="3"/>
      </tp>
      <tp>
        <v>25791</v>
        <stp/>
        <stp>##V3_BDHV12</stp>
        <stp>XOM US Equity</stp>
        <stp>OTHER_NONCUR_LIABS_SUB_DETAILED</stp>
        <stp>FQ3 1998</stp>
        <stp>FQ3 1998</stp>
        <stp>[FA1_ivyerigx.xlsx]Bal Sheet - Standardized!R37C3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7" s="3"/>
      </tp>
      <tp>
        <v>23131</v>
        <stp/>
        <stp>##V3_BDHV12</stp>
        <stp>XOM US Equity</stp>
        <stp>OTHER_NONCUR_LIABS_SUB_DETAILED</stp>
        <stp>FQ4 1998</stp>
        <stp>FQ4 1998</stp>
        <stp>[FA1_ivyerigx.xlsx]Bal Sheet - Standardized!R37C4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7" s="3"/>
      </tp>
      <tp>
        <v>33059</v>
        <stp/>
        <stp>##V3_BDHV12</stp>
        <stp>XOM US Equity</stp>
        <stp>BS_CUR_LIAB</stp>
        <stp>FQ3 2002</stp>
        <stp>FQ3 2002</stp>
        <stp>[FA1_ivyerigx.xlsx]Bal Sheet - Standardized!R35C19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5" s="3"/>
      </tp>
      <tp>
        <v>2172</v>
        <stp/>
        <stp>##V3_BDHV12</stp>
        <stp>XOM US Equity</stp>
        <stp>FREE_CASH_FLOW_EQUITY</stp>
        <stp>FQ1 2000</stp>
        <stp>FQ1 2000</stp>
        <stp>[FA1_ivyerigx.xlsx]Cash Flow - Standardized!R48C9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8" s="4"/>
      </tp>
      <tp>
        <v>10233</v>
        <stp/>
        <stp>##V3_BDHV12</stp>
        <stp>XOM US Equity</stp>
        <stp>INVTRY_FINISHED_GOODS</stp>
        <stp>FQ2 2006</stp>
        <stp>FQ2 2006</stp>
        <stp>[FA1_ivyerigx.xlsx]Bal Sheet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3"/>
      </tp>
      <tp>
        <v>8750</v>
        <stp/>
        <stp>##V3_BDHV12</stp>
        <stp>XOM US Equity</stp>
        <stp>INVTRY_FINISHED_GOODS</stp>
        <stp>FQ3 2004</stp>
        <stp>FQ3 2004</stp>
        <stp>[FA1_ivyerigx.xlsx]Bal Sheet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3"/>
      </tp>
      <tp>
        <v>8475</v>
        <stp/>
        <stp>##V3_BDHV12</stp>
        <stp>XOM US Equity</stp>
        <stp>INVTRY_FINISHED_GOODS</stp>
        <stp>FQ3 2003</stp>
        <stp>FQ3 2003</stp>
        <stp>[FA1_ivyerigx.xlsx]Bal Sheet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3"/>
      </tp>
      <tp t="s">
        <v>—</v>
        <stp/>
        <stp>##V3_BDHV12</stp>
        <stp>XOM US Equity</stp>
        <stp>BS_ACCUM_DEPR</stp>
        <stp>FQ2 2001</stp>
        <stp>FQ2 2001</stp>
        <stp>[FA1_ivyerigx.xlsx]Bal Sheet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3"/>
      </tp>
      <tp t="s">
        <v>—</v>
        <stp/>
        <stp>##V3_BDHV12</stp>
        <stp>XOM US Equity</stp>
        <stp>BS_ACCUM_DEPR</stp>
        <stp>FQ1 2004</stp>
        <stp>FQ1 2004</stp>
        <stp>[FA1_ivyerigx.xlsx]Bal Sheet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3"/>
      </tp>
      <tp t="s">
        <v>—</v>
        <stp/>
        <stp>##V3_BDHV12</stp>
        <stp>XOM US Equity</stp>
        <stp>BS_ACCUM_DEPR</stp>
        <stp>FQ2 2000</stp>
        <stp>FQ2 2000</stp>
        <stp>[FA1_ivyerigx.xlsx]Bal Sheet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3"/>
      </tp>
      <tp>
        <v>9219</v>
        <stp/>
        <stp>##V3_BDHV12</stp>
        <stp>XOM US Equity</stp>
        <stp>INVTRY_FINISHED_GOODS</stp>
        <stp>FQ2 2005</stp>
        <stp>FQ2 2005</stp>
        <stp>[FA1_ivyerigx.xlsx]Bal Sheet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3"/>
      </tp>
      <tp t="s">
        <v>—</v>
        <stp/>
        <stp>##V3_BDHV12</stp>
        <stp>XOM US Equity</stp>
        <stp>BS_ACCUM_DEPR</stp>
        <stp>FQ1 2003</stp>
        <stp>FQ1 2003</stp>
        <stp>[FA1_ivyerigx.xlsx]Bal Sheet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3"/>
      </tp>
      <tp t="s">
        <v>—</v>
        <stp/>
        <stp>##V3_BDHV12</stp>
        <stp>XOM US Equity</stp>
        <stp>BS_ACCUM_DEPR</stp>
        <stp>FQ1 2005</stp>
        <stp>FQ1 2005</stp>
        <stp>[FA1_ivyerigx.xlsx]Bal Sheet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3"/>
      </tp>
      <tp t="s">
        <v>—</v>
        <stp/>
        <stp>##V3_BDHV12</stp>
        <stp>XOM US Equity</stp>
        <stp>BS_ACCUM_DEPR</stp>
        <stp>FQ2 2002</stp>
        <stp>FQ2 2002</stp>
        <stp>[FA1_ivyerigx.xlsx]Bal Sheet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3"/>
      </tp>
      <tp>
        <v>10866</v>
        <stp/>
        <stp>##V3_BDHV12</stp>
        <stp>XOM US Equity</stp>
        <stp>INVTRY_FINISHED_GOODS</stp>
        <stp>FQ2 2007</stp>
        <stp>FQ2 2007</stp>
        <stp>[FA1_ivyerigx.xlsx]Bal Sheet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3"/>
      </tp>
      <tp t="s">
        <v>—</v>
        <stp/>
        <stp>##V3_BDHV12</stp>
        <stp>XOM US Equity</stp>
        <stp>BS_OTHER_ASSETS_DEF_CHRG_OTHER</stp>
        <stp>FQ1 2002</stp>
        <stp>FQ1 2002</stp>
        <stp>[FA1_ivyerigx.xlsx]Bal Sheet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3"/>
      </tp>
      <tp t="s">
        <v>—</v>
        <stp/>
        <stp>##V3_BDHV12</stp>
        <stp>XOM US Equity</stp>
        <stp>BS_OTHER_ASSETS_DEF_CHRG_OTHER</stp>
        <stp>FQ3 2005</stp>
        <stp>FQ3 2005</stp>
        <stp>[FA1_ivyerigx.xlsx]Bal Sheet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3"/>
      </tp>
      <tp t="s">
        <v>—</v>
        <stp/>
        <stp>##V3_BDHV12</stp>
        <stp>XOM US Equity</stp>
        <stp>BS_OTHER_ASSETS_DEF_CHRG_OTHER</stp>
        <stp>FQ3 2006</stp>
        <stp>FQ3 2006</stp>
        <stp>[FA1_ivyerigx.xlsx]Bal Sheet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3"/>
      </tp>
      <tp t="s">
        <v>—</v>
        <stp/>
        <stp>##V3_BDHV12</stp>
        <stp>XOM US Equity</stp>
        <stp>BS_OTHER_ASSETS_DEF_CHRG_OTHER</stp>
        <stp>FQ2 2004</stp>
        <stp>FQ2 2004</stp>
        <stp>[FA1_ivyerigx.xlsx]Bal Sheet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3"/>
      </tp>
      <tp t="s">
        <v>—</v>
        <stp/>
        <stp>##V3_BDHV12</stp>
        <stp>XOM US Equity</stp>
        <stp>BS_OTHER_ASSETS_DEF_CHRG_OTHER</stp>
        <stp>FQ2 2003</stp>
        <stp>FQ2 2003</stp>
        <stp>[FA1_ivyerigx.xlsx]Bal Sheet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3"/>
      </tp>
      <tp t="s">
        <v>—</v>
        <stp/>
        <stp>##V3_BDHV12</stp>
        <stp>XOM US Equity</stp>
        <stp>BS_OTHER_ASSETS_DEF_CHRG_OTHER</stp>
        <stp>FQ1 2001</stp>
        <stp>FQ1 2001</stp>
        <stp>[FA1_ivyerigx.xlsx]Bal Sheet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3"/>
      </tp>
      <tp>
        <v>7056</v>
        <stp/>
        <stp>##V3_BDHV12</stp>
        <stp>XOM US Equity</stp>
        <stp>BS_OTHER_ASSETS_DEF_CHRG_OTHER</stp>
        <stp>FQ4 2007</stp>
        <stp>FQ4 2007</stp>
        <stp>[FA1_ivyerigx.xlsx]Bal Sheet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3"/>
      </tp>
      <tp>
        <v>32312</v>
        <stp/>
        <stp>##V3_BDHV12</stp>
        <stp>XOM US Equity</stp>
        <stp>BS_OTHER_ASSETS_DEF_CHRG_OTHER</stp>
        <stp>FQ3 2007</stp>
        <stp>FQ3 2007</stp>
        <stp>[FA1_ivyerigx.xlsx]Bal Sheet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3"/>
      </tp>
      <tp t="s">
        <v>—</v>
        <stp/>
        <stp>##V3_BDHV12</stp>
        <stp>XOM US Equity</stp>
        <stp>IS_OTHER_OPER_INC</stp>
        <stp>FQ1 2000</stp>
        <stp>FQ1 2000</stp>
        <stp>[FA1_ivyerigx.xlsx]Income - Adjusted!R9C9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9" s="2"/>
      </tp>
      <tp>
        <v>10714</v>
        <stp/>
        <stp>##V3_BDHV12</stp>
        <stp>XOM US Equity</stp>
        <stp>BS_INVENTORIES</stp>
        <stp>FQ4 2006</stp>
        <stp>FQ4 2006</stp>
        <stp>[FA1_ivyerigx.xlsx]Bal Sheet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3"/>
      </tp>
      <tp>
        <v>10526</v>
        <stp/>
        <stp>##V3_BDHV12</stp>
        <stp>XOM US Equity</stp>
        <stp>IS_INC_TAX_EXP</stp>
        <stp>FQ2 2008</stp>
        <stp>FQ2 2008</stp>
        <stp>[FA1_ivyerigx.xlsx]Income - Adjusted!R19C42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19" s="2"/>
      </tp>
      <tp>
        <v>1654</v>
        <stp/>
        <stp>##V3_BDHV12</stp>
        <stp>XOM US Equity</stp>
        <stp>IS_INC_TAX_EXP</stp>
        <stp>FQ2 2002</stp>
        <stp>FQ2 2002</stp>
        <stp>[FA1_ivyerigx.xlsx]Income - Adjusted!R19C18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9" s="2"/>
      </tp>
      <tp t="s">
        <v>—</v>
        <stp/>
        <stp>##V3_BDHV12</stp>
        <stp>XOM US Equity</stp>
        <stp>BS_FUTURE_MIN_OPER_LEASE_OBLIG</stp>
        <stp>FQ3 2002</stp>
        <stp>FQ3 2002</stp>
        <stp>[FA1_ivyerigx.xlsx]Bal Sheet - Standardized!R56C19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6" s="3"/>
      </tp>
      <tp>
        <v>9321</v>
        <stp/>
        <stp>##V3_BDHV12</stp>
        <stp>XOM US Equity</stp>
        <stp>BS_INVENTORIES</stp>
        <stp>FQ4 2005</stp>
        <stp>FQ4 2005</stp>
        <stp>[FA1_ivyerigx.xlsx]Bal Sheet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3"/>
      </tp>
      <tp>
        <v>15641</v>
        <stp/>
        <stp>##V3_BDHV12</stp>
        <stp>XOM US Equity</stp>
        <stp>PRETAX_INC</stp>
        <stp>FQ1 2006</stp>
        <stp>FQ1 2006</stp>
        <stp>[FA1_ivyerigx.xlsx]Income - Adjusted!R16C33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6" s="2"/>
      </tp>
      <tp>
        <v>3377</v>
        <stp/>
        <stp>##V3_BDHV12</stp>
        <stp>XOM US Equity</stp>
        <stp>PRETAX_INC</stp>
        <stp>FQ1 2002</stp>
        <stp>FQ1 2002</stp>
        <stp>[FA1_ivyerigx.xlsx]Income - Adjusted!R16C17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6" s="2"/>
      </tp>
      <tp>
        <v>12958</v>
        <stp/>
        <stp>##V3_BDHV12</stp>
        <stp>XOM US Equity</stp>
        <stp>PRETAX_INC</stp>
        <stp>FQ2 2005</stp>
        <stp>FQ2 2005</stp>
        <stp>[FA1_ivyerigx.xlsx]Income - Adjusted!R16C30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6" s="2"/>
      </tp>
      <tp>
        <v>6955</v>
        <stp/>
        <stp>##V3_BDHV12</stp>
        <stp>XOM US Equity</stp>
        <stp>PRETAX_INC</stp>
        <stp>FQ2 2001</stp>
        <stp>FQ2 2001</stp>
        <stp>[FA1_ivyerigx.xlsx]Income - Adjusted!R16C14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6" s="2"/>
      </tp>
      <tp t="s">
        <v>—</v>
        <stp/>
        <stp>##V3_BDHV12</stp>
        <stp>XOM US Equity</stp>
        <stp>BS_FUTURE_MIN_OPER_LEASE_OBLIG</stp>
        <stp>FQ3 2001</stp>
        <stp>FQ3 2001</stp>
        <stp>[FA1_ivyerigx.xlsx]Bal Sheet - Standardized!R56C15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6" s="3"/>
      </tp>
      <tp>
        <v>1.77</v>
        <stp/>
        <stp>##V3_BDHV12</stp>
        <stp>XOM US Equity</stp>
        <stp>IS_EPS</stp>
        <stp>FQ4 2006</stp>
        <stp>FQ4 2006</stp>
        <stp>[FA1_ivyerigx.xlsx]Per Share!R14C36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4" s="5"/>
      </tp>
      <tp t="s">
        <v>—</v>
        <stp/>
        <stp>##V3_BDHV12</stp>
        <stp>XOM US Equity</stp>
        <stp>BS_FUTURE_MIN_OPER_LEASE_OBLIG</stp>
        <stp>FQ1 2006</stp>
        <stp>FQ1 2006</stp>
        <stp>[FA1_ivyerigx.xlsx]Bal Sheet - Standardized!R56C33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6" s="3"/>
      </tp>
      <tp>
        <v>1.31</v>
        <stp/>
        <stp>##V3_BDHV12</stp>
        <stp>XOM US Equity</stp>
        <stp>IS_EPS</stp>
        <stp>FQ4 2004</stp>
        <stp>FQ4 2004</stp>
        <stp>[FA1_ivyerigx.xlsx]Per Share!R14C28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4" s="5"/>
      </tp>
      <tp>
        <v>1.72</v>
        <stp/>
        <stp>##V3_BDHV12</stp>
        <stp>XOM US Equity</stp>
        <stp>IS_EPS</stp>
        <stp>FQ4 2005</stp>
        <stp>FQ4 2005</stp>
        <stp>[FA1_ivyerigx.xlsx]Per Share!R14C32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4" s="5"/>
      </tp>
      <tp>
        <v>1.01</v>
        <stp/>
        <stp>##V3_BDHV12</stp>
        <stp>XOM US Equity</stp>
        <stp>IS_EPS</stp>
        <stp>FQ4 2003</stp>
        <stp>FQ4 2003</stp>
        <stp>[FA1_ivyerigx.xlsx]Per Share!R14C24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4" s="5"/>
      </tp>
      <tp>
        <v>0.76</v>
        <stp/>
        <stp>##V3_BDHV12</stp>
        <stp>XOM US Equity</stp>
        <stp>IS_EPS</stp>
        <stp>FQ4 2000</stp>
        <stp>FQ4 2000</stp>
        <stp>[FA1_ivyerigx.xlsx]Per Share!R14C12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4" s="5"/>
      </tp>
      <tp>
        <v>0.39</v>
        <stp/>
        <stp>##V3_BDHV12</stp>
        <stp>XOM US Equity</stp>
        <stp>IS_EPS</stp>
        <stp>FQ4 2001</stp>
        <stp>FQ4 2001</stp>
        <stp>[FA1_ivyerigx.xlsx]Per Share!R14C16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4" s="5"/>
      </tp>
      <tp>
        <v>0.6</v>
        <stp/>
        <stp>##V3_BDHV12</stp>
        <stp>XOM US Equity</stp>
        <stp>IS_EPS</stp>
        <stp>FQ4 2002</stp>
        <stp>FQ4 2002</stp>
        <stp>[FA1_ivyerigx.xlsx]Per Share!R14C20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4" s="5"/>
      </tp>
      <tp>
        <v>2.15</v>
        <stp/>
        <stp>##V3_BDHV12</stp>
        <stp>XOM US Equity</stp>
        <stp>IS_EPS</stp>
        <stp>FQ4 2007</stp>
        <stp>FQ4 2007</stp>
        <stp>[FA1_ivyerigx.xlsx]Per Share!R14C40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4" s="5"/>
      </tp>
      <tp>
        <v>12.5383</v>
        <stp/>
        <stp>##V3_BDHV12</stp>
        <stp>XOM US Equity</stp>
        <stp>EBITDA_MARGIN</stp>
        <stp>FQ1 2000</stp>
        <stp>FQ1 2000</stp>
        <stp>[FA1_ivyerigx.xlsx]Income - Adjusted!R46C9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6" s="2"/>
      </tp>
      <tp>
        <v>2.25</v>
        <stp/>
        <stp>##V3_BDHV12</stp>
        <stp>XOM US Equity</stp>
        <stp>IS_EPS</stp>
        <stp>FQ2 2008</stp>
        <stp>FQ2 2008</stp>
        <stp>[FA1_ivyerigx.xlsx]Per Share!R14C42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4" s="5"/>
      </tp>
      <tp>
        <v>0.4</v>
        <stp/>
        <stp>##V3_BDHV12</stp>
        <stp>XOM US Equity</stp>
        <stp>IS_EPS</stp>
        <stp>FQ2 2002</stp>
        <stp>FQ2 2002</stp>
        <stp>[FA1_ivyerigx.xlsx]Per Share!R14C18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4" s="5"/>
      </tp>
      <tp>
        <v>0.63</v>
        <stp/>
        <stp>##V3_BDHV12</stp>
        <stp>XOM US Equity</stp>
        <stp>IS_EPS</stp>
        <stp>FQ2 2003</stp>
        <stp>FQ2 2003</stp>
        <stp>[FA1_ivyerigx.xlsx]Per Share!R14C22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4" s="5"/>
      </tp>
      <tp>
        <v>0.66</v>
        <stp/>
        <stp>##V3_BDHV12</stp>
        <stp>XOM US Equity</stp>
        <stp>IS_EPS</stp>
        <stp>FQ2 2000</stp>
        <stp>FQ2 2000</stp>
        <stp>[FA1_ivyerigx.xlsx]Per Share!R14C10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4" s="5"/>
      </tp>
      <tp>
        <v>0.66</v>
        <stp/>
        <stp>##V3_BDHV12</stp>
        <stp>XOM US Equity</stp>
        <stp>IS_EPS</stp>
        <stp>FQ2 2001</stp>
        <stp>FQ2 2001</stp>
        <stp>[FA1_ivyerigx.xlsx]Per Share!R14C14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4" s="5"/>
      </tp>
      <tp>
        <v>1.21</v>
        <stp/>
        <stp>##V3_BDHV12</stp>
        <stp>XOM US Equity</stp>
        <stp>IS_EPS</stp>
        <stp>FQ2 2005</stp>
        <stp>FQ2 2005</stp>
        <stp>[FA1_ivyerigx.xlsx]Per Share!R14C30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4" s="5"/>
      </tp>
      <tp>
        <v>0.89</v>
        <stp/>
        <stp>##V3_BDHV12</stp>
        <stp>XOM US Equity</stp>
        <stp>IS_EPS</stp>
        <stp>FQ2 2004</stp>
        <stp>FQ2 2004</stp>
        <stp>[FA1_ivyerigx.xlsx]Per Share!R14C26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4" s="5"/>
      </tp>
      <tp>
        <v>1.74</v>
        <stp/>
        <stp>##V3_BDHV12</stp>
        <stp>XOM US Equity</stp>
        <stp>IS_EPS</stp>
        <stp>FQ2 2006</stp>
        <stp>FQ2 2006</stp>
        <stp>[FA1_ivyerigx.xlsx]Per Share!R14C34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4" s="5"/>
      </tp>
      <tp>
        <v>1.85</v>
        <stp/>
        <stp>##V3_BDHV12</stp>
        <stp>XOM US Equity</stp>
        <stp>IS_EPS</stp>
        <stp>FQ2 2007</stp>
        <stp>FQ2 2007</stp>
        <stp>[FA1_ivyerigx.xlsx]Per Share!R14C38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4" s="5"/>
      </tp>
      <tp t="s">
        <v>—</v>
        <stp/>
        <stp>##V3_BDHV12</stp>
        <stp>XOM US Equity</stp>
        <stp>BS_FUTURE_MIN_OPER_LEASE_OBLIG</stp>
        <stp>FQ3 2000</stp>
        <stp>FQ3 2000</stp>
        <stp>[FA1_ivyerigx.xlsx]Bal Sheet - Standardized!R56C11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6" s="3"/>
      </tp>
      <tp>
        <v>0.39</v>
        <stp/>
        <stp>##V3_BDHV12</stp>
        <stp>XOM US Equity</stp>
        <stp>IS_EPS</stp>
        <stp>FQ3 2002</stp>
        <stp>FQ3 2002</stp>
        <stp>[FA1_ivyerigx.xlsx]Per Share!R14C19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4" s="5"/>
      </tp>
      <tp>
        <v>0.46</v>
        <stp/>
        <stp>##V3_BDHV12</stp>
        <stp>XOM US Equity</stp>
        <stp>IS_EPS</stp>
        <stp>FQ3 2001</stp>
        <stp>FQ3 2001</stp>
        <stp>[FA1_ivyerigx.xlsx]Per Share!R14C15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4" s="5"/>
      </tp>
      <tp>
        <v>0.63</v>
        <stp/>
        <stp>##V3_BDHV12</stp>
        <stp>XOM US Equity</stp>
        <stp>IS_EPS</stp>
        <stp>FQ3 2000</stp>
        <stp>FQ3 2000</stp>
        <stp>[FA1_ivyerigx.xlsx]Per Share!R14C11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4" s="5"/>
      </tp>
      <tp>
        <v>0.55000000000000004</v>
        <stp/>
        <stp>##V3_BDHV12</stp>
        <stp>XOM US Equity</stp>
        <stp>IS_EPS</stp>
        <stp>FQ3 2003</stp>
        <stp>FQ3 2003</stp>
        <stp>[FA1_ivyerigx.xlsx]Per Share!R14C23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4" s="5"/>
      </tp>
      <tp>
        <v>1.6</v>
        <stp/>
        <stp>##V3_BDHV12</stp>
        <stp>XOM US Equity</stp>
        <stp>IS_EPS</stp>
        <stp>FQ3 2005</stp>
        <stp>FQ3 2005</stp>
        <stp>[FA1_ivyerigx.xlsx]Per Share!R14C31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4" s="5"/>
      </tp>
      <tp>
        <v>0.88</v>
        <stp/>
        <stp>##V3_BDHV12</stp>
        <stp>XOM US Equity</stp>
        <stp>IS_EPS</stp>
        <stp>FQ3 2004</stp>
        <stp>FQ3 2004</stp>
        <stp>[FA1_ivyerigx.xlsx]Per Share!R14C27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4" s="5"/>
      </tp>
      <tp>
        <v>1.72</v>
        <stp/>
        <stp>##V3_BDHV12</stp>
        <stp>XOM US Equity</stp>
        <stp>IS_EPS</stp>
        <stp>FQ3 2007</stp>
        <stp>FQ3 2007</stp>
        <stp>[FA1_ivyerigx.xlsx]Per Share!R14C39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4" s="5"/>
      </tp>
      <tp>
        <v>1.79</v>
        <stp/>
        <stp>##V3_BDHV12</stp>
        <stp>XOM US Equity</stp>
        <stp>IS_EPS</stp>
        <stp>FQ3 2006</stp>
        <stp>FQ3 2006</stp>
        <stp>[FA1_ivyerigx.xlsx]Per Share!R14C35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4" s="5"/>
      </tp>
      <tp>
        <v>2.0499999999999998</v>
        <stp/>
        <stp>##V3_BDHV12</stp>
        <stp>XOM US Equity</stp>
        <stp>IS_EPS</stp>
        <stp>FQ1 2008</stp>
        <stp>FQ1 2008</stp>
        <stp>[FA1_ivyerigx.xlsx]Per Share!R14C41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4" s="5"/>
      </tp>
      <tp>
        <v>0.72</v>
        <stp/>
        <stp>##V3_BDHV12</stp>
        <stp>XOM US Equity</stp>
        <stp>IS_EPS</stp>
        <stp>FQ1 2001</stp>
        <stp>FQ1 2001</stp>
        <stp>[FA1_ivyerigx.xlsx]Per Share!R14C13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4" s="5"/>
      </tp>
      <tp t="s">
        <v>—</v>
        <stp/>
        <stp>##V3_BDHV12</stp>
        <stp>XOM US Equity</stp>
        <stp>BS_FUTURE_MIN_OPER_LEASE_OBLIG</stp>
        <stp>FQ1 2007</stp>
        <stp>FQ1 2007</stp>
        <stp>[FA1_ivyerigx.xlsx]Bal Sheet - Standardized!R56C37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6" s="3"/>
      </tp>
      <tp>
        <v>1.05</v>
        <stp/>
        <stp>##V3_BDHV12</stp>
        <stp>XOM US Equity</stp>
        <stp>IS_EPS</stp>
        <stp>FQ1 2003</stp>
        <stp>FQ1 2003</stp>
        <stp>[FA1_ivyerigx.xlsx]Per Share!R14C21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4" s="5"/>
      </tp>
      <tp>
        <v>0.3</v>
        <stp/>
        <stp>##V3_BDHV12</stp>
        <stp>XOM US Equity</stp>
        <stp>IS_EPS</stp>
        <stp>FQ1 2002</stp>
        <stp>FQ1 2002</stp>
        <stp>[FA1_ivyerigx.xlsx]Per Share!R14C17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4" s="5"/>
      </tp>
      <tp>
        <v>1.6400000000000001</v>
        <stp/>
        <stp>##V3_BDHV12</stp>
        <stp>XOM US Equity</stp>
        <stp>IS_EPS</stp>
        <stp>FQ1 2007</stp>
        <stp>FQ1 2007</stp>
        <stp>[FA1_ivyerigx.xlsx]Per Share!R14C37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4" s="5"/>
      </tp>
      <tp>
        <v>1.38</v>
        <stp/>
        <stp>##V3_BDHV12</stp>
        <stp>XOM US Equity</stp>
        <stp>IS_EPS</stp>
        <stp>FQ1 2006</stp>
        <stp>FQ1 2006</stp>
        <stp>[FA1_ivyerigx.xlsx]Per Share!R14C33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4" s="5"/>
      </tp>
      <tp>
        <v>0.83</v>
        <stp/>
        <stp>##V3_BDHV12</stp>
        <stp>XOM US Equity</stp>
        <stp>IS_EPS</stp>
        <stp>FQ1 2004</stp>
        <stp>FQ1 2004</stp>
        <stp>[FA1_ivyerigx.xlsx]Per Share!R14C25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4" s="5"/>
      </tp>
      <tp>
        <v>1.23</v>
        <stp/>
        <stp>##V3_BDHV12</stp>
        <stp>XOM US Equity</stp>
        <stp>IS_EPS</stp>
        <stp>FQ1 2005</stp>
        <stp>FQ1 2005</stp>
        <stp>[FA1_ivyerigx.xlsx]Per Share!R14C29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4" s="5"/>
      </tp>
      <tp>
        <v>35614</v>
        <stp/>
        <stp>##V3_BDHV12</stp>
        <stp>XOM US Equity</stp>
        <stp>BS_CUR_LIAB</stp>
        <stp>FQ2 2001</stp>
        <stp>FQ2 2001</stp>
        <stp>[FA1_ivyerigx.xlsx]Bal Sheet - Standardized!R35C14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5" s="3"/>
      </tp>
      <tp>
        <v>41955</v>
        <stp/>
        <stp>##V3_BDHV12</stp>
        <stp>XOM US Equity</stp>
        <stp>BS_CUR_LIAB</stp>
        <stp>FQ1 2004</stp>
        <stp>FQ1 2004</stp>
        <stp>[FA1_ivyerigx.xlsx]Bal Sheet - Standardized!R35C25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5" s="3"/>
      </tp>
      <tp>
        <v>38592</v>
        <stp/>
        <stp>##V3_BDHV12</stp>
        <stp>XOM US Equity</stp>
        <stp>BS_CUR_LIAB</stp>
        <stp>FQ2 2000</stp>
        <stp>FQ2 2000</stp>
        <stp>[FA1_ivyerigx.xlsx]Bal Sheet - Standardized!R35C10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5" s="3"/>
      </tp>
      <tp>
        <v>17032</v>
        <stp/>
        <stp>##V3_BDHV12</stp>
        <stp>XOM US Equity</stp>
        <stp>GROSS_PROFIT</stp>
        <stp>FQ1 2007</stp>
        <stp>FQ1 2007</stp>
        <stp>[FA1_ivyerigx.xlsx]Income - Adjusted!R8C37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8" s="2"/>
      </tp>
      <tp>
        <v>37652</v>
        <stp/>
        <stp>##V3_BDHV12</stp>
        <stp>XOM US Equity</stp>
        <stp>BS_CUR_LIAB</stp>
        <stp>FQ1 2003</stp>
        <stp>FQ1 2003</stp>
        <stp>[FA1_ivyerigx.xlsx]Bal Sheet - Standardized!R35C21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5" s="3"/>
      </tp>
      <tp>
        <v>47757</v>
        <stp/>
        <stp>##V3_BDHV12</stp>
        <stp>XOM US Equity</stp>
        <stp>BS_CUR_LIAB</stp>
        <stp>FQ1 2005</stp>
        <stp>FQ1 2005</stp>
        <stp>[FA1_ivyerigx.xlsx]Bal Sheet - Standardized!R35C29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5" s="3"/>
      </tp>
      <tp>
        <v>31242</v>
        <stp/>
        <stp>##V3_BDHV12</stp>
        <stp>XOM US Equity</stp>
        <stp>BS_CUR_LIAB</stp>
        <stp>FQ2 2002</stp>
        <stp>FQ2 2002</stp>
        <stp>[FA1_ivyerigx.xlsx]Bal Sheet - Standardized!R35C18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5" s="3"/>
      </tp>
      <tp>
        <v>3480</v>
        <stp/>
        <stp>##V3_BDHV12</stp>
        <stp>XOM US Equity</stp>
        <stp>CF_NET_INC</stp>
        <stp>FQ1 2000</stp>
        <stp>FQ1 2000</stp>
        <stp>[FA1_ivyerigx.xlsx]Cash Flow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4"/>
      </tp>
      <tp t="s">
        <v>—</v>
        <stp/>
        <stp>##V3_BDHV12</stp>
        <stp>XOM US Equity</stp>
        <stp>BS_ACCUM_DEPR</stp>
        <stp>FQ1 2006</stp>
        <stp>FQ1 2006</stp>
        <stp>[FA1_ivyerigx.xlsx]Bal Sheet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3"/>
      </tp>
      <tp>
        <v>10858</v>
        <stp/>
        <stp>##V3_BDHV12</stp>
        <stp>XOM US Equity</stp>
        <stp>INVTRY_FINISHED_GOODS</stp>
        <stp>FQ3 2006</stp>
        <stp>FQ3 2006</stp>
        <stp>[FA1_ivyerigx.xlsx]Bal Sheet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3"/>
      </tp>
      <tp>
        <v>8680</v>
        <stp/>
        <stp>##V3_BDHV12</stp>
        <stp>XOM US Equity</stp>
        <stp>INVTRY_FINISHED_GOODS</stp>
        <stp>FQ2 2004</stp>
        <stp>FQ2 2004</stp>
        <stp>[FA1_ivyerigx.xlsx]Bal Sheet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3"/>
      </tp>
      <tp>
        <v>8863</v>
        <stp/>
        <stp>##V3_BDHV12</stp>
        <stp>XOM US Equity</stp>
        <stp>INVTRY_FINISHED_GOODS</stp>
        <stp>FQ4 2007</stp>
        <stp>FQ4 2007</stp>
        <stp>[FA1_ivyerigx.xlsx]Bal Sheet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3"/>
      </tp>
      <tp>
        <v>8783</v>
        <stp/>
        <stp>##V3_BDHV12</stp>
        <stp>XOM US Equity</stp>
        <stp>INVTRY_FINISHED_GOODS</stp>
        <stp>FQ2 2003</stp>
        <stp>FQ2 2003</stp>
        <stp>[FA1_ivyerigx.xlsx]Bal Sheet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3"/>
      </tp>
      <tp t="s">
        <v>—</v>
        <stp/>
        <stp>##V3_BDHV12</stp>
        <stp>XOM US Equity</stp>
        <stp>BS_ACCUM_DEPR</stp>
        <stp>FQ3 2001</stp>
        <stp>FQ3 2001</stp>
        <stp>[FA1_ivyerigx.xlsx]Bal Sheet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3"/>
      </tp>
      <tp>
        <v>7329</v>
        <stp/>
        <stp>##V3_BDHV12</stp>
        <stp>XOM US Equity</stp>
        <stp>INVTRY_FINISHED_GOODS</stp>
        <stp>FQ1 2001</stp>
        <stp>FQ1 2001</stp>
        <stp>[FA1_ivyerigx.xlsx]Bal Sheet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3"/>
      </tp>
      <tp>
        <v>7154</v>
        <stp/>
        <stp>##V3_BDHV12</stp>
        <stp>XOM US Equity</stp>
        <stp>INVTRY_FINISHED_GOODS</stp>
        <stp>FQ1 2002</stp>
        <stp>FQ1 2002</stp>
        <stp>[FA1_ivyerigx.xlsx]Bal Sheet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3"/>
      </tp>
      <tp t="s">
        <v>—</v>
        <stp/>
        <stp>##V3_BDHV12</stp>
        <stp>XOM US Equity</stp>
        <stp>BS_ACCUM_DEPR</stp>
        <stp>FQ1 2007</stp>
        <stp>FQ1 2007</stp>
        <stp>[FA1_ivyerigx.xlsx]Bal Sheet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3"/>
      </tp>
      <tp t="s">
        <v>—</v>
        <stp/>
        <stp>##V3_BDHV12</stp>
        <stp>XOM US Equity</stp>
        <stp>BS_ACCUM_DEPR</stp>
        <stp>FQ3 2000</stp>
        <stp>FQ3 2000</stp>
        <stp>[FA1_ivyerigx.xlsx]Bal Sheet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3"/>
      </tp>
      <tp>
        <v>9577</v>
        <stp/>
        <stp>##V3_BDHV12</stp>
        <stp>XOM US Equity</stp>
        <stp>INVTRY_FINISHED_GOODS</stp>
        <stp>FQ3 2005</stp>
        <stp>FQ3 2005</stp>
        <stp>[FA1_ivyerigx.xlsx]Bal Sheet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3"/>
      </tp>
      <tp>
        <v>-17</v>
        <stp/>
        <stp>##V3_BDHV12</stp>
        <stp>XOM US Equity</stp>
        <stp>IS_INC_TAX_EXP</stp>
        <stp>FQ1 1999</stp>
        <stp>FQ1 1999</stp>
        <stp>[FA1_ivyerigx.xlsx]Income - Adjusted!R19C5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9" s="2"/>
      </tp>
      <tp>
        <v>729</v>
        <stp/>
        <stp>##V3_BDHV12</stp>
        <stp>XOM US Equity</stp>
        <stp>IS_INC_TAX_EXP</stp>
        <stp>FQ3 1999</stp>
        <stp>FQ3 1999</stp>
        <stp>[FA1_ivyerigx.xlsx]Income - Adjusted!R19C7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9" s="2"/>
      </tp>
      <tp>
        <v>466</v>
        <stp/>
        <stp>##V3_BDHV12</stp>
        <stp>XOM US Equity</stp>
        <stp>IS_INC_TAX_EXP</stp>
        <stp>FQ2 1999</stp>
        <stp>FQ2 1999</stp>
        <stp>[FA1_ivyerigx.xlsx]Income - Adjusted!R19C6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9" s="2"/>
      </tp>
      <tp t="s">
        <v>—</v>
        <stp/>
        <stp>##V3_BDHV12</stp>
        <stp>XOM US Equity</stp>
        <stp>BS_ACCUM_DEPR</stp>
        <stp>FQ3 2002</stp>
        <stp>FQ3 2002</stp>
        <stp>[FA1_ivyerigx.xlsx]Bal Sheet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3"/>
      </tp>
      <tp>
        <v>10883</v>
        <stp/>
        <stp>##V3_BDHV12</stp>
        <stp>XOM US Equity</stp>
        <stp>INVTRY_FINISHED_GOODS</stp>
        <stp>FQ3 2007</stp>
        <stp>FQ3 2007</stp>
        <stp>[FA1_ivyerigx.xlsx]Bal Sheet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3"/>
      </tp>
      <tp>
        <v>34.002600000000001</v>
        <stp/>
        <stp>##V3_BDHV12</stp>
        <stp>XOM US Equity</stp>
        <stp>PX_TO_FREE_CASH_FLOW</stp>
        <stp>FQ1 2000</stp>
        <stp>FQ1 2000</stp>
        <stp>[FA1_ivyerigx.xlsx]Cash Flow - Standardized!R50C9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0" s="4"/>
      </tp>
      <tp t="s">
        <v>—</v>
        <stp/>
        <stp>##V3_BDHV12</stp>
        <stp>XOM US Equity</stp>
        <stp>EBITA</stp>
        <stp>FQ1 2000</stp>
        <stp>FQ1 2000</stp>
        <stp>[FA1_ivyerigx.xlsx]Income - Adjusted!R47C9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7" s="2"/>
      </tp>
      <tp t="s">
        <v>—</v>
        <stp/>
        <stp>##V3_BDHV12</stp>
        <stp>XOM US Equity</stp>
        <stp>CF_CHANGE_IN_INVENTORIES</stp>
        <stp>FQ4 2003</stp>
        <stp>FQ4 2003</stp>
        <stp>[FA1_ivyerigx.xlsx]Cash Flow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4"/>
      </tp>
      <tp t="s">
        <v>—</v>
        <stp/>
        <stp>##V3_BDHV12</stp>
        <stp>XOM US Equity</stp>
        <stp>CF_CHANGE_IN_INVENTORIES</stp>
        <stp>FQ4 2002</stp>
        <stp>FQ4 2002</stp>
        <stp>[FA1_ivyerigx.xlsx]Cash Flow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4"/>
      </tp>
      <tp t="s">
        <v>—</v>
        <stp/>
        <stp>##V3_BDHV12</stp>
        <stp>XOM US Equity</stp>
        <stp>CF_CHANGE_IN_INVENTORIES</stp>
        <stp>FQ2 2008</stp>
        <stp>FQ2 2008</stp>
        <stp>[FA1_ivyerigx.xlsx]Cash Flow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4"/>
      </tp>
      <tp t="s">
        <v>—</v>
        <stp/>
        <stp>##V3_BDHV12</stp>
        <stp>XOM US Equity</stp>
        <stp>CF_CHANGE_IN_INVENTORIES</stp>
        <stp>FQ4 2004</stp>
        <stp>FQ4 2004</stp>
        <stp>[FA1_ivyerigx.xlsx]Cash Flow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4"/>
      </tp>
      <tp>
        <v>202</v>
        <stp/>
        <stp>##V3_BDHV12</stp>
        <stp>XOM US Equity</stp>
        <stp>IS_ABNORMAL_ITEM</stp>
        <stp>FQ2 2000</stp>
        <stp>FQ2 2000</stp>
        <stp>[FA1_ivyerigx.xlsx]Income - Adjusted!R17C10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7" s="2"/>
      </tp>
      <tp>
        <v>10676</v>
        <stp/>
        <stp>##V3_BDHV12</stp>
        <stp>XOM US Equity</stp>
        <stp>OTHER_CURRENT_LIABS_SUB_DETAILED</stp>
        <stp>FQ1 2006</stp>
        <stp>FQ1 2006</stp>
        <stp>[FA1_ivyerigx.xlsx]Bal Sheet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3"/>
      </tp>
      <tp t="s">
        <v>—</v>
        <stp/>
        <stp>##V3_BDHV12</stp>
        <stp>XOM US Equity</stp>
        <stp>IS_ABNORMAL_ITEM</stp>
        <stp>FQ2 2003</stp>
        <stp>FQ2 2003</stp>
        <stp>[FA1_ivyerigx.xlsx]Income - Adjusted!R17C22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7" s="2"/>
      </tp>
      <tp>
        <v>6040</v>
        <stp/>
        <stp>##V3_BDHV12</stp>
        <stp>XOM US Equity</stp>
        <stp>OTHER_CURRENT_LIABS_SUB_DETAILED</stp>
        <stp>FQ3 2001</stp>
        <stp>FQ3 2001</stp>
        <stp>[FA1_ivyerigx.xlsx]Bal Sheet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3"/>
      </tp>
      <tp>
        <v>1272</v>
        <stp/>
        <stp>##V3_BDHV12</stp>
        <stp>XOM US Equity</stp>
        <stp>IS_INC_TAX_EXP</stp>
        <stp>FQ1 2002</stp>
        <stp>FQ1 2002</stp>
        <stp>[FA1_ivyerigx.xlsx]Income - Adjusted!R19C17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9" s="2"/>
      </tp>
      <tp>
        <v>7059</v>
        <stp/>
        <stp>##V3_BDHV12</stp>
        <stp>XOM US Equity</stp>
        <stp>IS_INC_TAX_EXP</stp>
        <stp>FQ1 2006</stp>
        <stp>FQ1 2006</stp>
        <stp>[FA1_ivyerigx.xlsx]Income - Adjusted!R19C33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9" s="2"/>
      </tp>
      <tp>
        <v>2587</v>
        <stp/>
        <stp>##V3_BDHV12</stp>
        <stp>XOM US Equity</stp>
        <stp>IS_INC_TAX_EXP</stp>
        <stp>FQ2 2001</stp>
        <stp>FQ2 2001</stp>
        <stp>[FA1_ivyerigx.xlsx]Income - Adjusted!R19C14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9" s="2"/>
      </tp>
      <tp>
        <v>5119</v>
        <stp/>
        <stp>##V3_BDHV12</stp>
        <stp>XOM US Equity</stp>
        <stp>IS_INC_TAX_EXP</stp>
        <stp>FQ2 2005</stp>
        <stp>FQ2 2005</stp>
        <stp>[FA1_ivyerigx.xlsx]Income - Adjusted!R19C30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9" s="2"/>
      </tp>
      <tp>
        <v>1.71</v>
        <stp/>
        <stp>##V3_BDHV12</stp>
        <stp>XOM US Equity</stp>
        <stp>IS_DILUTED_EPS</stp>
        <stp>FQ4 2005</stp>
        <stp>FQ4 2005</stp>
        <stp>[FA1_ivyerigx.xlsx]Per Share!R17C32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7" s="5"/>
      </tp>
      <tp>
        <v>1.3</v>
        <stp/>
        <stp>##V3_BDHV12</stp>
        <stp>XOM US Equity</stp>
        <stp>IS_DILUTED_EPS</stp>
        <stp>FQ4 2004</stp>
        <stp>FQ4 2004</stp>
        <stp>[FA1_ivyerigx.xlsx]Per Share!R17C28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7" s="5"/>
      </tp>
      <tp>
        <v>1.76</v>
        <stp/>
        <stp>##V3_BDHV12</stp>
        <stp>XOM US Equity</stp>
        <stp>IS_DILUTED_EPS</stp>
        <stp>FQ4 2006</stp>
        <stp>FQ4 2006</stp>
        <stp>[FA1_ivyerigx.xlsx]Per Share!R17C36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7" s="5"/>
      </tp>
      <tp>
        <v>2.13</v>
        <stp/>
        <stp>##V3_BDHV12</stp>
        <stp>XOM US Equity</stp>
        <stp>IS_DILUTED_EPS</stp>
        <stp>FQ4 2007</stp>
        <stp>FQ4 2007</stp>
        <stp>[FA1_ivyerigx.xlsx]Per Share!R17C40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7" s="5"/>
      </tp>
      <tp>
        <v>1.01</v>
        <stp/>
        <stp>##V3_BDHV12</stp>
        <stp>XOM US Equity</stp>
        <stp>IS_DILUTED_EPS</stp>
        <stp>FQ4 2003</stp>
        <stp>FQ4 2003</stp>
        <stp>[FA1_ivyerigx.xlsx]Per Share!R17C24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7" s="5"/>
      </tp>
      <tp>
        <v>0.76</v>
        <stp/>
        <stp>##V3_BDHV12</stp>
        <stp>XOM US Equity</stp>
        <stp>IS_DILUTED_EPS</stp>
        <stp>FQ4 2000</stp>
        <stp>FQ4 2000</stp>
        <stp>[FA1_ivyerigx.xlsx]Per Share!R17C12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7" s="5"/>
      </tp>
      <tp>
        <v>0.39</v>
        <stp/>
        <stp>##V3_BDHV12</stp>
        <stp>XOM US Equity</stp>
        <stp>IS_DILUTED_EPS</stp>
        <stp>FQ4 2001</stp>
        <stp>FQ4 2001</stp>
        <stp>[FA1_ivyerigx.xlsx]Per Share!R17C16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7" s="5"/>
      </tp>
      <tp>
        <v>0.6</v>
        <stp/>
        <stp>##V3_BDHV12</stp>
        <stp>XOM US Equity</stp>
        <stp>IS_DILUTED_EPS</stp>
        <stp>FQ4 2002</stp>
        <stp>FQ4 2002</stp>
        <stp>[FA1_ivyerigx.xlsx]Per Share!R17C20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7" s="5"/>
      </tp>
      <tp>
        <v>9661</v>
        <stp/>
        <stp>##V3_BDHV12</stp>
        <stp>XOM US Equity</stp>
        <stp>OTHER_CURRENT_LIABS_SUB_DETAILED</stp>
        <stp>FQ1 2007</stp>
        <stp>FQ1 2007</stp>
        <stp>[FA1_ivyerigx.xlsx]Bal Sheet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3"/>
      </tp>
      <tp>
        <v>145</v>
        <stp/>
        <stp>##V3_BDHV12</stp>
        <stp>XOM US Equity</stp>
        <stp>IS_ABNORMAL_ITEM</stp>
        <stp>FQ3 2001</stp>
        <stp>FQ3 2001</stp>
        <stp>[FA1_ivyerigx.xlsx]Income - Adjusted!R17C15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7" s="2"/>
      </tp>
      <tp>
        <v>0.62</v>
        <stp/>
        <stp>##V3_BDHV12</stp>
        <stp>XOM US Equity</stp>
        <stp>IS_DILUTED_EPS</stp>
        <stp>FQ2 2003</stp>
        <stp>FQ2 2003</stp>
        <stp>[FA1_ivyerigx.xlsx]Per Share!R17C22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7" s="5"/>
      </tp>
      <tp>
        <v>0.65</v>
        <stp/>
        <stp>##V3_BDHV12</stp>
        <stp>XOM US Equity</stp>
        <stp>IS_DILUTED_EPS</stp>
        <stp>FQ2 2000</stp>
        <stp>FQ2 2000</stp>
        <stp>[FA1_ivyerigx.xlsx]Per Share!R17C10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7" s="5"/>
      </tp>
      <tp>
        <v>0.65</v>
        <stp/>
        <stp>##V3_BDHV12</stp>
        <stp>XOM US Equity</stp>
        <stp>IS_DILUTED_EPS</stp>
        <stp>FQ2 2001</stp>
        <stp>FQ2 2001</stp>
        <stp>[FA1_ivyerigx.xlsx]Per Share!R17C14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7" s="5"/>
      </tp>
      <tp>
        <v>0.39</v>
        <stp/>
        <stp>##V3_BDHV12</stp>
        <stp>XOM US Equity</stp>
        <stp>IS_DILUTED_EPS</stp>
        <stp>FQ2 2002</stp>
        <stp>FQ2 2002</stp>
        <stp>[FA1_ivyerigx.xlsx]Per Share!R17C18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7" s="5"/>
      </tp>
      <tp>
        <v>1.72</v>
        <stp/>
        <stp>##V3_BDHV12</stp>
        <stp>XOM US Equity</stp>
        <stp>IS_DILUTED_EPS</stp>
        <stp>FQ2 2006</stp>
        <stp>FQ2 2006</stp>
        <stp>[FA1_ivyerigx.xlsx]Per Share!R17C34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7" s="5"/>
      </tp>
      <tp>
        <v>1.83</v>
        <stp/>
        <stp>##V3_BDHV12</stp>
        <stp>XOM US Equity</stp>
        <stp>IS_DILUTED_EPS</stp>
        <stp>FQ2 2007</stp>
        <stp>FQ2 2007</stp>
        <stp>[FA1_ivyerigx.xlsx]Per Share!R17C38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7" s="5"/>
      </tp>
      <tp>
        <v>1.2</v>
        <stp/>
        <stp>##V3_BDHV12</stp>
        <stp>XOM US Equity</stp>
        <stp>IS_DILUTED_EPS</stp>
        <stp>FQ2 2005</stp>
        <stp>FQ2 2005</stp>
        <stp>[FA1_ivyerigx.xlsx]Per Share!R17C30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7" s="5"/>
      </tp>
      <tp>
        <v>0.88</v>
        <stp/>
        <stp>##V3_BDHV12</stp>
        <stp>XOM US Equity</stp>
        <stp>IS_DILUTED_EPS</stp>
        <stp>FQ2 2004</stp>
        <stp>FQ2 2004</stp>
        <stp>[FA1_ivyerigx.xlsx]Per Share!R17C26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7" s="5"/>
      </tp>
      <tp>
        <v>2.2200000000000002</v>
        <stp/>
        <stp>##V3_BDHV12</stp>
        <stp>XOM US Equity</stp>
        <stp>IS_DILUTED_EPS</stp>
        <stp>FQ2 2008</stp>
        <stp>FQ2 2008</stp>
        <stp>[FA1_ivyerigx.xlsx]Per Share!R17C42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7" s="5"/>
      </tp>
      <tp>
        <v>0.46</v>
        <stp/>
        <stp>##V3_BDHV12</stp>
        <stp>XOM US Equity</stp>
        <stp>IS_DILUTED_EPS</stp>
        <stp>FQ3 2001</stp>
        <stp>FQ3 2001</stp>
        <stp>[FA1_ivyerigx.xlsx]Per Share!R17C15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7" s="5"/>
      </tp>
      <tp t="s">
        <v>—</v>
        <stp/>
        <stp>##V3_BDHV12</stp>
        <stp>XOM US Equity</stp>
        <stp>EQY_FLOAT</stp>
        <stp>FQ2 1999</stp>
        <stp>FQ2 1999</stp>
        <stp>[FA1_ivyerigx.xlsx]Stock Value!R14C6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4" s="6"/>
      </tp>
      <tp>
        <v>0.63</v>
        <stp/>
        <stp>##V3_BDHV12</stp>
        <stp>XOM US Equity</stp>
        <stp>IS_DILUTED_EPS</stp>
        <stp>FQ3 2000</stp>
        <stp>FQ3 2000</stp>
        <stp>[FA1_ivyerigx.xlsx]Per Share!R17C11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7" s="5"/>
      </tp>
      <tp>
        <v>0.55000000000000004</v>
        <stp/>
        <stp>##V3_BDHV12</stp>
        <stp>XOM US Equity</stp>
        <stp>IS_DILUTED_EPS</stp>
        <stp>FQ3 2003</stp>
        <stp>FQ3 2003</stp>
        <stp>[FA1_ivyerigx.xlsx]Per Share!R17C23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7" s="5"/>
      </tp>
      <tp>
        <v>0.39</v>
        <stp/>
        <stp>##V3_BDHV12</stp>
        <stp>XOM US Equity</stp>
        <stp>IS_DILUTED_EPS</stp>
        <stp>FQ3 2002</stp>
        <stp>FQ3 2002</stp>
        <stp>[FA1_ivyerigx.xlsx]Per Share!R17C19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7" s="5"/>
      </tp>
      <tp>
        <v>1.7</v>
        <stp/>
        <stp>##V3_BDHV12</stp>
        <stp>XOM US Equity</stp>
        <stp>IS_DILUTED_EPS</stp>
        <stp>FQ3 2007</stp>
        <stp>FQ3 2007</stp>
        <stp>[FA1_ivyerigx.xlsx]Per Share!R17C39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7" s="5"/>
      </tp>
      <tp>
        <v>1.77</v>
        <stp/>
        <stp>##V3_BDHV12</stp>
        <stp>XOM US Equity</stp>
        <stp>IS_DILUTED_EPS</stp>
        <stp>FQ3 2006</stp>
        <stp>FQ3 2006</stp>
        <stp>[FA1_ivyerigx.xlsx]Per Share!R17C35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7" s="5"/>
      </tp>
      <tp>
        <v>1.58</v>
        <stp/>
        <stp>##V3_BDHV12</stp>
        <stp>XOM US Equity</stp>
        <stp>IS_DILUTED_EPS</stp>
        <stp>FQ3 2005</stp>
        <stp>FQ3 2005</stp>
        <stp>[FA1_ivyerigx.xlsx]Per Share!R17C31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7" s="5"/>
      </tp>
      <tp>
        <v>0.88</v>
        <stp/>
        <stp>##V3_BDHV12</stp>
        <stp>XOM US Equity</stp>
        <stp>IS_DILUTED_EPS</stp>
        <stp>FQ3 2004</stp>
        <stp>FQ3 2004</stp>
        <stp>[FA1_ivyerigx.xlsx]Per Share!R17C27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7" s="5"/>
      </tp>
      <tp>
        <v>5416</v>
        <stp/>
        <stp>##V3_BDHV12</stp>
        <stp>XOM US Equity</stp>
        <stp>OTHER_CURRENT_LIABS_SUB_DETAILED</stp>
        <stp>FQ3 2000</stp>
        <stp>FQ3 2000</stp>
        <stp>[FA1_ivyerigx.xlsx]Bal Sheet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3"/>
      </tp>
      <tp>
        <v>0.3</v>
        <stp/>
        <stp>##V3_BDHV12</stp>
        <stp>XOM US Equity</stp>
        <stp>IS_DILUTED_EPS</stp>
        <stp>FQ1 2002</stp>
        <stp>FQ1 2002</stp>
        <stp>[FA1_ivyerigx.xlsx]Per Share!R17C17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7" s="5"/>
      </tp>
      <tp>
        <v>0.71</v>
        <stp/>
        <stp>##V3_BDHV12</stp>
        <stp>XOM US Equity</stp>
        <stp>IS_DILUTED_EPS</stp>
        <stp>FQ1 2001</stp>
        <stp>FQ1 2001</stp>
        <stp>[FA1_ivyerigx.xlsx]Per Share!R17C13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7" s="5"/>
      </tp>
      <tp>
        <v>1.05</v>
        <stp/>
        <stp>##V3_BDHV12</stp>
        <stp>XOM US Equity</stp>
        <stp>IS_DILUTED_EPS</stp>
        <stp>FQ1 2003</stp>
        <stp>FQ1 2003</stp>
        <stp>[FA1_ivyerigx.xlsx]Per Share!R17C21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7" s="5"/>
      </tp>
      <tp>
        <v>0.83</v>
        <stp/>
        <stp>##V3_BDHV12</stp>
        <stp>XOM US Equity</stp>
        <stp>IS_DILUTED_EPS</stp>
        <stp>FQ1 2004</stp>
        <stp>FQ1 2004</stp>
        <stp>[FA1_ivyerigx.xlsx]Per Share!R17C25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7" s="5"/>
      </tp>
      <tp>
        <v>1.22</v>
        <stp/>
        <stp>##V3_BDHV12</stp>
        <stp>XOM US Equity</stp>
        <stp>IS_DILUTED_EPS</stp>
        <stp>FQ1 2005</stp>
        <stp>FQ1 2005</stp>
        <stp>[FA1_ivyerigx.xlsx]Per Share!R17C29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7" s="5"/>
      </tp>
      <tp>
        <v>1.62</v>
        <stp/>
        <stp>##V3_BDHV12</stp>
        <stp>XOM US Equity</stp>
        <stp>IS_DILUTED_EPS</stp>
        <stp>FQ1 2007</stp>
        <stp>FQ1 2007</stp>
        <stp>[FA1_ivyerigx.xlsx]Per Share!R17C37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7" s="5"/>
      </tp>
      <tp>
        <v>1.37</v>
        <stp/>
        <stp>##V3_BDHV12</stp>
        <stp>XOM US Equity</stp>
        <stp>IS_DILUTED_EPS</stp>
        <stp>FQ1 2006</stp>
        <stp>FQ1 2006</stp>
        <stp>[FA1_ivyerigx.xlsx]Per Share!R17C33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7" s="5"/>
      </tp>
      <tp>
        <v>2.0299999999999998</v>
        <stp/>
        <stp>##V3_BDHV12</stp>
        <stp>XOM US Equity</stp>
        <stp>IS_DILUTED_EPS</stp>
        <stp>FQ1 2008</stp>
        <stp>FQ1 2008</stp>
        <stp>[FA1_ivyerigx.xlsx]Per Share!R17C41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7" s="5"/>
      </tp>
      <tp>
        <v>22431</v>
        <stp/>
        <stp>##V3_BDHV12</stp>
        <stp>XOM US Equity</stp>
        <stp>PRETAX_INC</stp>
        <stp>FQ2 2008</stp>
        <stp>FQ2 2008</stp>
        <stp>[FA1_ivyerigx.xlsx]Income - Adjusted!R16C42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6" s="2"/>
      </tp>
      <tp>
        <v>4311</v>
        <stp/>
        <stp>##V3_BDHV12</stp>
        <stp>XOM US Equity</stp>
        <stp>PRETAX_INC</stp>
        <stp>FQ2 2002</stp>
        <stp>FQ2 2002</stp>
        <stp>[FA1_ivyerigx.xlsx]Income - Adjusted!R16C18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6" s="2"/>
      </tp>
      <tp>
        <v>1138</v>
        <stp/>
        <stp>##V3_BDHV12</stp>
        <stp>XOM US Equity</stp>
        <stp>INVTRY_RAW_MATERIALS</stp>
        <stp>FQ1 2000</stp>
        <stp>FQ1 2000</stp>
        <stp>[FA1_ivyerigx.xlsx]Bal Sheet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3"/>
      </tp>
      <tp>
        <v>4892</v>
        <stp/>
        <stp>##V3_BDHV12</stp>
        <stp>XOM US Equity</stp>
        <stp>OTHER_CURRENT_LIABS_SUB_DETAILED</stp>
        <stp>FQ3 2002</stp>
        <stp>FQ3 2002</stp>
        <stp>[FA1_ivyerigx.xlsx]Bal Sheet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3"/>
      </tp>
      <tp>
        <v>20712</v>
        <stp/>
        <stp>##V3_BDHV12</stp>
        <stp>XOM US Equity</stp>
        <stp>BS_ACCTS_REC_EXCL_NOTES_REC</stp>
        <stp>FQ4 2004</stp>
        <stp>FQ4 2004</stp>
        <stp>[FA1_ivyerigx.xlsx]Bal Sheet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3"/>
      </tp>
      <tp t="s">
        <v>—</v>
        <stp/>
        <stp>##V3_BDHV12</stp>
        <stp>XOM US Equity</stp>
        <stp>BS_ACCTS_REC_EXCL_NOTES_REC</stp>
        <stp>FQ2 2008</stp>
        <stp>FQ2 2008</stp>
        <stp>[FA1_ivyerigx.xlsx]Bal Sheet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3"/>
      </tp>
      <tp>
        <v>22990</v>
        <stp/>
        <stp>##V3_BDHV12</stp>
        <stp>XOM US Equity</stp>
        <stp>BS_AMT_OF_TSY_STOCK</stp>
        <stp>FQ3 2002</stp>
        <stp>FQ3 2002</stp>
        <stp>[FA1_ivyerigx.xlsx]Bal Sheet - Standardized!R43C19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3" s="3"/>
      </tp>
      <tp t="s">
        <v>—</v>
        <stp/>
        <stp>##V3_BDHV12</stp>
        <stp>XOM US Equity</stp>
        <stp>BS_ACCTS_REC_EXCL_NOTES_REC</stp>
        <stp>FQ4 2003</stp>
        <stp>FQ4 2003</stp>
        <stp>[FA1_ivyerigx.xlsx]Bal Sheet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3"/>
      </tp>
      <tp>
        <v>60830</v>
        <stp/>
        <stp>##V3_BDHV12</stp>
        <stp>XOM US Equity</stp>
        <stp>BS_AMT_OF_TSY_STOCK</stp>
        <stp>FQ1 2006</stp>
        <stp>FQ1 2006</stp>
        <stp>[FA1_ivyerigx.xlsx]Bal Sheet - Standardized!R43C33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3" s="3"/>
      </tp>
      <tp>
        <v>18230</v>
        <stp/>
        <stp>##V3_BDHV12</stp>
        <stp>XOM US Equity</stp>
        <stp>BS_AMT_OF_TSY_STOCK</stp>
        <stp>FQ3 2001</stp>
        <stp>FQ3 2001</stp>
        <stp>[FA1_ivyerigx.xlsx]Bal Sheet - Standardized!R43C15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3" s="3"/>
      </tp>
      <tp>
        <v>90858</v>
        <stp/>
        <stp>##V3_BDHV12</stp>
        <stp>XOM US Equity</stp>
        <stp>BS_AMT_OF_TSY_STOCK</stp>
        <stp>FQ1 2007</stp>
        <stp>FQ1 2007</stp>
        <stp>[FA1_ivyerigx.xlsx]Bal Sheet - Standardized!R43C37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3" s="3"/>
      </tp>
      <tp t="s">
        <v>—</v>
        <stp/>
        <stp>##V3_BDHV12</stp>
        <stp>XOM US Equity</stp>
        <stp>BS_ACCTS_REC_EXCL_NOTES_REC</stp>
        <stp>FQ4 2002</stp>
        <stp>FQ4 2002</stp>
        <stp>[FA1_ivyerigx.xlsx]Bal Sheet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3"/>
      </tp>
      <tp>
        <v>12888</v>
        <stp/>
        <stp>##V3_BDHV12</stp>
        <stp>XOM US Equity</stp>
        <stp>BS_AMT_OF_TSY_STOCK</stp>
        <stp>FQ3 2000</stp>
        <stp>FQ3 2000</stp>
        <stp>[FA1_ivyerigx.xlsx]Bal Sheet - Standardized!R43C11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3" s="3"/>
      </tp>
      <tp>
        <v>45.103299999999997</v>
        <stp/>
        <stp>##V3_BDHV12</stp>
        <stp>XOM US Equity</stp>
        <stp>TCE_RATIO</stp>
        <stp>FQ1 2000</stp>
        <stp>FQ1 2000</stp>
        <stp>[FA1_ivyerigx.xlsx]Bal Sheet - Standardized!R62C9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2" s="3"/>
      </tp>
      <tp>
        <v>0</v>
        <stp/>
        <stp>##V3_BDHV12</stp>
        <stp>XOM US Equity</stp>
        <stp>NET_CHG_IN_LT_INVEST_DETAILED</stp>
        <stp>FQ4 1999</stp>
        <stp>FQ4 1999</stp>
        <stp>[FA1_ivyerigx.xlsx]Cash Flow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4"/>
      </tp>
      <tp>
        <v>0</v>
        <stp/>
        <stp>##V3_BDHV12</stp>
        <stp>XOM US Equity</stp>
        <stp>NET_CHG_IN_LT_INVEST_DETAILED</stp>
        <stp>FQ3 1999</stp>
        <stp>FQ3 1999</stp>
        <stp>[FA1_ivyerigx.xlsx]Cash Flow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4"/>
      </tp>
      <tp>
        <v>0</v>
        <stp/>
        <stp>##V3_BDHV12</stp>
        <stp>XOM US Equity</stp>
        <stp>NET_CHG_IN_LT_INVEST_DETAILED</stp>
        <stp>FQ2 1999</stp>
        <stp>FQ2 1999</stp>
        <stp>[FA1_ivyerigx.xlsx]Cash Flow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4"/>
      </tp>
      <tp>
        <v>0</v>
        <stp/>
        <stp>##V3_BDHV12</stp>
        <stp>XOM US Equity</stp>
        <stp>NET_CHG_IN_LT_INVEST_DETAILED</stp>
        <stp>FQ1 1999</stp>
        <stp>FQ1 1999</stp>
        <stp>[FA1_ivyerigx.xlsx]Cash Flow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4"/>
      </tp>
      <tp>
        <v>0</v>
        <stp/>
        <stp>##V3_BDHV12</stp>
        <stp>XOM US Equity</stp>
        <stp>NET_CHG_IN_LT_INVEST_DETAILED</stp>
        <stp>FQ3 1998</stp>
        <stp>FQ3 1998</stp>
        <stp>[FA1_ivyerigx.xlsx]Cash Flow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4"/>
      </tp>
      <tp>
        <v>0</v>
        <stp/>
        <stp>##V3_BDHV12</stp>
        <stp>XOM US Equity</stp>
        <stp>NET_CHG_IN_LT_INVEST_DETAILED</stp>
        <stp>FQ4 1998</stp>
        <stp>FQ4 1998</stp>
        <stp>[FA1_ivyerigx.xlsx]Cash Flow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4"/>
      </tp>
      <tp>
        <v>0</v>
        <stp/>
        <stp>##V3_BDHV12</stp>
        <stp>XOM US Equity</stp>
        <stp>OTHER_ADJUSTMENTS</stp>
        <stp>FQ1 2004</stp>
        <stp>FQ1 2004</stp>
        <stp>[FA1_ivyerigx.xlsx]Income - Adjusted!R26C25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2"/>
      </tp>
      <tp t="s">
        <v>—</v>
        <stp/>
        <stp>##V3_BDHV12</stp>
        <stp>XOM US Equity</stp>
        <stp>OTHER_ADJUSTMENTS</stp>
        <stp>FQ2 2006</stp>
        <stp>FQ2 2006</stp>
        <stp>[FA1_ivyerigx.xlsx]Income - Adjusted!R26C34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2"/>
      </tp>
      <tp>
        <v>0</v>
        <stp/>
        <stp>##V3_BDHV12</stp>
        <stp>XOM US Equity</stp>
        <stp>OTHER_ADJUSTMENTS</stp>
        <stp>FQ4 2007</stp>
        <stp>FQ4 2007</stp>
        <stp>[FA1_ivyerigx.xlsx]Income - Adjusted!R26C40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2"/>
      </tp>
      <tp>
        <v>0</v>
        <stp/>
        <stp>##V3_BDHV12</stp>
        <stp>XOM US Equity</stp>
        <stp>OTHER_ADJUSTMENTS</stp>
        <stp>FQ3 2007</stp>
        <stp>FQ3 2007</stp>
        <stp>[FA1_ivyerigx.xlsx]Income - Adjusted!R26C39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2"/>
      </tp>
      <tp t="s">
        <v>—</v>
        <stp/>
        <stp>##V3_BDHV12</stp>
        <stp>XOM US Equity</stp>
        <stp>BS_OPTIONS_GRANTED</stp>
        <stp>FQ4 1998</stp>
        <stp>FQ4 1998</stp>
        <stp>[FA1_ivyerigx.xlsx]Bal Sheet - Standardized!R58C4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8" s="3"/>
      </tp>
      <tp t="s">
        <v>—</v>
        <stp/>
        <stp>##V3_BDHV12</stp>
        <stp>XOM US Equity</stp>
        <stp>BS_OPTIONS_GRANTED</stp>
        <stp>FQ3 1998</stp>
        <stp>FQ3 1998</stp>
        <stp>[FA1_ivyerigx.xlsx]Bal Sheet - Standardized!R58C3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8" s="3"/>
      </tp>
      <tp>
        <v>-434</v>
        <stp/>
        <stp>##V3_BDHV12</stp>
        <stp>XOM US Equity</stp>
        <stp>CF_CHANGE_IN_INVENTORIES</stp>
        <stp>FQ4 2005</stp>
        <stp>FQ4 2005</stp>
        <stp>[FA1_ivyerigx.xlsx]Cash Flow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4"/>
      </tp>
      <tp>
        <v>-5898</v>
        <stp/>
        <stp>##V3_BDHV12</stp>
        <stp>XOM US Equity</stp>
        <stp>BS_OTHER_INV</stp>
        <stp>FQ4 1999</stp>
        <stp>FQ4 1999</stp>
        <stp>[FA1_ivyerigx.xlsx]Bal Sheet - Standardized!R16C8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6" s="3"/>
      </tp>
      <tp t="s">
        <v>—</v>
        <stp/>
        <stp>##V3_BDHV12</stp>
        <stp>XOM US Equity</stp>
        <stp>CF_CHANGE_IN_INVENTORIES</stp>
        <stp>FQ4 2006</stp>
        <stp>FQ4 2006</stp>
        <stp>[FA1_ivyerigx.xlsx]Cash Flow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4"/>
      </tp>
      <tp t="s">
        <v>—</v>
        <stp/>
        <stp>##V3_BDHV12</stp>
        <stp>XOM US Equity</stp>
        <stp>BS_OTHER_INV</stp>
        <stp>FQ3 1998</stp>
        <stp>FQ3 1998</stp>
        <stp>[FA1_ivyerigx.xlsx]Bal Sheet - Standardized!R16C3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709</v>
        <stp/>
        <stp>##V3_BDHV12</stp>
        <stp>XOM US Equity</stp>
        <stp>BS_OTHER_INV</stp>
        <stp>FQ4 1998</stp>
        <stp>FQ4 1998</stp>
        <stp>[FA1_ivyerigx.xlsx]Bal Sheet - Standardized!R16C4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0</v>
        <stp/>
        <stp>##V3_BDHV12</stp>
        <stp>XOM US Equity</stp>
        <stp>BS_OTHER_INV</stp>
        <stp>FQ3 1999</stp>
        <stp>FQ3 1999</stp>
        <stp>[FA1_ivyerigx.xlsx]Bal Sheet - Standardized!R16C7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6" s="3"/>
      </tp>
      <tp t="s">
        <v>—</v>
        <stp/>
        <stp>##V3_BDHV12</stp>
        <stp>XOM US Equity</stp>
        <stp>BS_OTHER_INV</stp>
        <stp>FQ2 1999</stp>
        <stp>FQ2 1999</stp>
        <stp>[FA1_ivyerigx.xlsx]Bal Sheet - Standardized!R16C6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6" s="3"/>
      </tp>
      <tp t="s">
        <v>—</v>
        <stp/>
        <stp>##V3_BDHV12</stp>
        <stp>XOM US Equity</stp>
        <stp>BS_OTHER_INV</stp>
        <stp>FQ1 1999</stp>
        <stp>FQ1 1999</stp>
        <stp>[FA1_ivyerigx.xlsx]Bal Sheet - Standardized!R16C5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6" s="3"/>
      </tp>
      <tp t="s">
        <v>—</v>
        <stp/>
        <stp>##V3_BDHV12</stp>
        <stp>XOM US Equity</stp>
        <stp>IS_ABNORMAL_ITEM</stp>
        <stp>FQ3 2003</stp>
        <stp>FQ3 2003</stp>
        <stp>[FA1_ivyerigx.xlsx]Income - Adjusted!R17C23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7" s="2"/>
      </tp>
      <tp>
        <v>372</v>
        <stp/>
        <stp>##V3_BDHV12</stp>
        <stp>XOM US Equity</stp>
        <stp>IS_ABNORMAL_ITEM</stp>
        <stp>FQ3 2000</stp>
        <stp>FQ3 2000</stp>
        <stp>[FA1_ivyerigx.xlsx]Income - Adjusted!R17C11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7" s="2"/>
      </tp>
      <tp>
        <v>6417</v>
        <stp/>
        <stp>##V3_BDHV12</stp>
        <stp>XOM US Equity</stp>
        <stp>OTHER_CURRENT_LIABS_SUB_DETAILED</stp>
        <stp>FQ2 2001</stp>
        <stp>FQ2 2001</stp>
        <stp>[FA1_ivyerigx.xlsx]Bal Sheet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3"/>
      </tp>
      <tp>
        <v>2060</v>
        <stp/>
        <stp>##V3_BDHV12</stp>
        <stp>XOM US Equity</stp>
        <stp>IS_INC_TAX_EXP</stp>
        <stp>FQ3 2001</stp>
        <stp>FQ3 2001</stp>
        <stp>[FA1_ivyerigx.xlsx]Income - Adjusted!R19C15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9" s="2"/>
      </tp>
      <tp>
        <v>6132</v>
        <stp/>
        <stp>##V3_BDHV12</stp>
        <stp>XOM US Equity</stp>
        <stp>IS_INC_TAX_EXP</stp>
        <stp>FQ3 2005</stp>
        <stp>FQ3 2005</stp>
        <stp>[FA1_ivyerigx.xlsx]Income - Adjusted!R19C31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9" s="2"/>
      </tp>
      <tp t="s">
        <v>—</v>
        <stp/>
        <stp>##V3_BDHV12</stp>
        <stp>XOM US Equity</stp>
        <stp>EQY_FLOAT</stp>
        <stp>FQ3 1999</stp>
        <stp>FQ3 1999</stp>
        <stp>[FA1_ivyerigx.xlsx]Stock Value!R14C7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4" s="6"/>
      </tp>
      <tp>
        <v>6765</v>
        <stp/>
        <stp>##V3_BDHV12</stp>
        <stp>XOM US Equity</stp>
        <stp>OTHER_CURRENT_LIABS_SUB_DETAILED</stp>
        <stp>FQ1 2004</stp>
        <stp>FQ1 2004</stp>
        <stp>[FA1_ivyerigx.xlsx]Bal Sheet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3"/>
      </tp>
      <tp>
        <v>60</v>
        <stp/>
        <stp>##V3_BDHV12</stp>
        <stp>XOM US Equity</stp>
        <stp>IS_ABNORMAL_ITEM</stp>
        <stp>FQ1 2002</stp>
        <stp>FQ1 2002</stp>
        <stp>[FA1_ivyerigx.xlsx]Income - Adjusted!R17C17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7" s="2"/>
      </tp>
      <tp>
        <v>167</v>
        <stp/>
        <stp>##V3_BDHV12</stp>
        <stp>XOM US Equity</stp>
        <stp>IS_ABNORMAL_ITEM</stp>
        <stp>FQ2 2001</stp>
        <stp>FQ2 2001</stp>
        <stp>[FA1_ivyerigx.xlsx]Income - Adjusted!R17C14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7" s="2"/>
      </tp>
      <tp>
        <v>5888</v>
        <stp/>
        <stp>##V3_BDHV12</stp>
        <stp>XOM US Equity</stp>
        <stp>OTHER_CURRENT_LIABS_SUB_DETAILED</stp>
        <stp>FQ1 2003</stp>
        <stp>FQ1 2003</stp>
        <stp>[FA1_ivyerigx.xlsx]Bal Sheet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3"/>
      </tp>
      <tp>
        <v>4758</v>
        <stp/>
        <stp>##V3_BDHV12</stp>
        <stp>XOM US Equity</stp>
        <stp>OTHER_CURRENT_LIABS_SUB_DETAILED</stp>
        <stp>FQ2 2000</stp>
        <stp>FQ2 2000</stp>
        <stp>[FA1_ivyerigx.xlsx]Bal Sheet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3"/>
      </tp>
      <tp>
        <v>-390</v>
        <stp/>
        <stp>##V3_BDHV12</stp>
        <stp>XOM US Equity</stp>
        <stp>IS_ABNORMAL_ITEM</stp>
        <stp>FQ4 2005</stp>
        <stp>FQ4 2005</stp>
        <stp>[FA1_ivyerigx.xlsx]Income - Adjusted!R17C32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7" s="2"/>
      </tp>
      <tp>
        <v>8959</v>
        <stp/>
        <stp>##V3_BDHV12</stp>
        <stp>XOM US Equity</stp>
        <stp>OTHER_CURRENT_LIABS_SUB_DETAILED</stp>
        <stp>FQ1 2005</stp>
        <stp>FQ1 2005</stp>
        <stp>[FA1_ivyerigx.xlsx]Bal Sheet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3"/>
      </tp>
      <tp>
        <v>4574</v>
        <stp/>
        <stp>##V3_BDHV12</stp>
        <stp>XOM US Equity</stp>
        <stp>PRETAX_INC</stp>
        <stp>FQ3 2002</stp>
        <stp>FQ3 2002</stp>
        <stp>[FA1_ivyerigx.xlsx]Income - Adjusted!R16C19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6" s="2"/>
      </tp>
      <tp t="s">
        <v>—</v>
        <stp/>
        <stp>##V3_BDHV12</stp>
        <stp>XOM US Equity</stp>
        <stp>IS_ABNORMAL_ITEM</stp>
        <stp>FQ4 2004</stp>
        <stp>FQ4 2004</stp>
        <stp>[FA1_ivyerigx.xlsx]Income - Adjusted!R17C28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7" s="2"/>
      </tp>
      <tp>
        <v>3400</v>
        <stp/>
        <stp>##V3_BDHV12</stp>
        <stp>XOM US Equity</stp>
        <stp>OTHER_CURRENT_LIABS_SUB_DETAILED</stp>
        <stp>FQ2 2002</stp>
        <stp>FQ2 2002</stp>
        <stp>[FA1_ivyerigx.xlsx]Bal Sheet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3"/>
      </tp>
      <tp t="s">
        <v>—</v>
        <stp/>
        <stp>##V3_BDHV12</stp>
        <stp>XOM US Equity</stp>
        <stp>IS_FOREIGN_EXCH_LOSS</stp>
        <stp>FQ3 1998</stp>
        <stp>FQ3 1998</stp>
        <stp>[FA1_ivyerigx.xlsx]Income - Adjusted!R15C3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5" s="2"/>
      </tp>
      <tp t="s">
        <v>—</v>
        <stp/>
        <stp>##V3_BDHV12</stp>
        <stp>XOM US Equity</stp>
        <stp>IS_FOREIGN_EXCH_LOSS</stp>
        <stp>FQ4 1998</stp>
        <stp>FQ4 1998</stp>
        <stp>[FA1_ivyerigx.xlsx]Income - Adjusted!R15C4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5" s="2"/>
      </tp>
      <tp>
        <v>4856</v>
        <stp/>
        <stp>##V3_BDHV12</stp>
        <stp>XOM US Equity</stp>
        <stp>IS_AVG_NUM_SH_FOR_EPS</stp>
        <stp>FQ1 1999</stp>
        <stp>FQ1 1999</stp>
        <stp>[FA1_ivyerigx.xlsx]Income - Adjusted!R33C5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3" s="2"/>
      </tp>
      <tp>
        <v>4856</v>
        <stp/>
        <stp>##V3_BDHV12</stp>
        <stp>XOM US Equity</stp>
        <stp>IS_AVG_NUM_SH_FOR_EPS</stp>
        <stp>FQ2 1999</stp>
        <stp>FQ2 1999</stp>
        <stp>[FA1_ivyerigx.xlsx]Income - Adjusted!R33C6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3" s="2"/>
      </tp>
      <tp>
        <v>4856</v>
        <stp/>
        <stp>##V3_BDHV12</stp>
        <stp>XOM US Equity</stp>
        <stp>IS_AVG_NUM_SH_FOR_EPS</stp>
        <stp>FQ3 1999</stp>
        <stp>FQ3 1999</stp>
        <stp>[FA1_ivyerigx.xlsx]Income - Adjusted!R33C7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3" s="2"/>
      </tp>
      <tp>
        <v>41152</v>
        <stp/>
        <stp>##V3_BDHV12</stp>
        <stp>XOM US Equity</stp>
        <stp>BS_AMT_OF_TSY_STOCK</stp>
        <stp>FQ1 2005</stp>
        <stp>FQ1 2005</stp>
        <stp>[FA1_ivyerigx.xlsx]Bal Sheet - Standardized!R43C29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3" s="3"/>
      </tp>
      <tp>
        <v>0.21</v>
        <stp/>
        <stp>##V3_BDHV12</stp>
        <stp>XOM US Equity</stp>
        <stp>IS_BASIC_EPS_CONT_OPS</stp>
        <stp>FQ1 1999</stp>
        <stp>FQ1 1999</stp>
        <stp>[FA1_ivyerigx.xlsx]Income - Adjusted!R36C5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6" s="2"/>
      </tp>
      <tp>
        <v>0.25</v>
        <stp/>
        <stp>##V3_BDHV12</stp>
        <stp>XOM US Equity</stp>
        <stp>IS_BASIC_EPS_CONT_OPS</stp>
        <stp>FQ2 1999</stp>
        <stp>FQ2 1999</stp>
        <stp>[FA1_ivyerigx.xlsx]Income - Adjusted!R36C6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6" s="2"/>
      </tp>
      <tp>
        <v>0.31</v>
        <stp/>
        <stp>##V3_BDHV12</stp>
        <stp>XOM US Equity</stp>
        <stp>IS_BASIC_EPS_CONT_OPS</stp>
        <stp>FQ3 1999</stp>
        <stp>FQ3 1999</stp>
        <stp>[FA1_ivyerigx.xlsx]Income - Adjusted!R36C7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6" s="2"/>
      </tp>
      <tp>
        <v>21959</v>
        <stp/>
        <stp>##V3_BDHV12</stp>
        <stp>XOM US Equity</stp>
        <stp>BS_AMT_OF_TSY_STOCK</stp>
        <stp>FQ2 2002</stp>
        <stp>FQ2 2002</stp>
        <stp>[FA1_ivyerigx.xlsx]Bal Sheet - Standardized!R43C18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3" s="3"/>
      </tp>
      <tp t="s">
        <v>—</v>
        <stp/>
        <stp>##V3_BDHV12</stp>
        <stp>XOM US Equity</stp>
        <stp>BS_ACCTS_REC_EXCL_NOTES_REC</stp>
        <stp>FQ4 2005</stp>
        <stp>FQ4 2005</stp>
        <stp>[FA1_ivyerigx.xlsx]Bal Sheet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3"/>
      </tp>
      <tp>
        <v>16939</v>
        <stp/>
        <stp>##V3_BDHV12</stp>
        <stp>XOM US Equity</stp>
        <stp>BS_AMT_OF_TSY_STOCK</stp>
        <stp>FQ2 2001</stp>
        <stp>FQ2 2001</stp>
        <stp>[FA1_ivyerigx.xlsx]Bal Sheet - Standardized!R43C14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3" s="3"/>
      </tp>
      <tp>
        <v>4912</v>
        <stp/>
        <stp>##V3_BDHV12</stp>
        <stp>XOM US Equity</stp>
        <stp>IS_SH_FOR_DILUTED_EPS</stp>
        <stp>FQ3 1999</stp>
        <stp>FQ3 1999</stp>
        <stp>[FA1_ivyerigx.xlsx]Income - Adjusted!R38C7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8" s="2"/>
      </tp>
      <tp>
        <v>4914</v>
        <stp/>
        <stp>##V3_BDHV12</stp>
        <stp>XOM US Equity</stp>
        <stp>IS_SH_FOR_DILUTED_EPS</stp>
        <stp>FQ2 1999</stp>
        <stp>FQ2 1999</stp>
        <stp>[FA1_ivyerigx.xlsx]Income - Adjusted!R38C6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8" s="2"/>
      </tp>
      <tp>
        <v>4910</v>
        <stp/>
        <stp>##V3_BDHV12</stp>
        <stp>XOM US Equity</stp>
        <stp>IS_SH_FOR_DILUTED_EPS</stp>
        <stp>FQ1 1999</stp>
        <stp>FQ1 1999</stp>
        <stp>[FA1_ivyerigx.xlsx]Income - Adjusted!R38C5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8" s="2"/>
      </tp>
      <tp>
        <v>30922</v>
        <stp/>
        <stp>##V3_BDHV12</stp>
        <stp>XOM US Equity</stp>
        <stp>BS_AMT_OF_TSY_STOCK</stp>
        <stp>FQ1 2004</stp>
        <stp>FQ1 2004</stp>
        <stp>[FA1_ivyerigx.xlsx]Bal Sheet - Standardized!R43C25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3" s="3"/>
      </tp>
      <tp t="s">
        <v>—</v>
        <stp/>
        <stp>##V3_BDHV12</stp>
        <stp>XOM US Equity</stp>
        <stp>BS_PENSION_RSRV</stp>
        <stp>FQ1 2000</stp>
        <stp>FQ1 2000</stp>
        <stp>[FA1_ivyerigx.xlsx]Bal Sheet - Standardized!R55C9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3"/>
      </tp>
      <tp>
        <v>25012</v>
        <stp/>
        <stp>##V3_BDHV12</stp>
        <stp>XOM US Equity</stp>
        <stp>BS_AMT_OF_TSY_STOCK</stp>
        <stp>FQ1 2003</stp>
        <stp>FQ1 2003</stp>
        <stp>[FA1_ivyerigx.xlsx]Bal Sheet - Standardized!R43C21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3" s="3"/>
      </tp>
      <tp>
        <v>11996</v>
        <stp/>
        <stp>##V3_BDHV12</stp>
        <stp>XOM US Equity</stp>
        <stp>BS_AMT_OF_TSY_STOCK</stp>
        <stp>FQ2 2000</stp>
        <stp>FQ2 2000</stp>
        <stp>[FA1_ivyerigx.xlsx]Bal Sheet - Standardized!R43C10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3" s="3"/>
      </tp>
      <tp t="s">
        <v>—</v>
        <stp/>
        <stp>##V3_BDHV12</stp>
        <stp>XOM US Equity</stp>
        <stp>BS_ACCTS_REC_EXCL_NOTES_REC</stp>
        <stp>FQ4 2006</stp>
        <stp>FQ4 2006</stp>
        <stp>[FA1_ivyerigx.xlsx]Bal Sheet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3"/>
      </tp>
      <tp t="s">
        <v>—</v>
        <stp/>
        <stp>##V3_BDHV12</stp>
        <stp>XOM US Equity</stp>
        <stp>OTHER_ADJUSTMENTS</stp>
        <stp>FQ3 2006</stp>
        <stp>FQ3 2006</stp>
        <stp>[FA1_ivyerigx.xlsx]Income - Adjusted!R26C35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2"/>
      </tp>
      <tp>
        <v>0</v>
        <stp/>
        <stp>##V3_BDHV12</stp>
        <stp>XOM US Equity</stp>
        <stp>OTHER_ADJUSTMENTS</stp>
        <stp>FQ1 2005</stp>
        <stp>FQ1 2005</stp>
        <stp>[FA1_ivyerigx.xlsx]Income - Adjusted!R26C29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2"/>
      </tp>
      <tp>
        <v>2145</v>
        <stp/>
        <stp>##V3_BDHV12</stp>
        <stp>XOM US Equity</stp>
        <stp>PRETAX_INC</stp>
        <stp>FQ3 1998</stp>
        <stp>FQ3 1998</stp>
        <stp>[FA1_ivyerigx.xlsx]Income - Adjusted!R16C3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2"/>
      </tp>
      <tp t="s">
        <v>—</v>
        <stp/>
        <stp>##V3_BDHV12</stp>
        <stp>XOM US Equity</stp>
        <stp>PRETAX_INC</stp>
        <stp>FQ4 1998</stp>
        <stp>FQ4 1998</stp>
        <stp>[FA1_ivyerigx.xlsx]Income - Adjusted!R16C4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2"/>
      </tp>
      <tp>
        <v>0</v>
        <stp/>
        <stp>##V3_BDHV12</stp>
        <stp>XOM US Equity</stp>
        <stp>OTHER_ADJUSTMENTS</stp>
        <stp>FQ2 2007</stp>
        <stp>FQ2 2007</stp>
        <stp>[FA1_ivyerigx.xlsx]Income - Adjusted!R26C38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2"/>
      </tp>
      <tp t="s">
        <v>—</v>
        <stp/>
        <stp>##V3_BDHV12</stp>
        <stp>XOM US Equity</stp>
        <stp>BS_OTHER_ASSETS_DEF_CHRG_OTHER</stp>
        <stp>FQ1 2000</stp>
        <stp>FQ1 2000</stp>
        <stp>[FA1_ivyerigx.xlsx]Bal Sheet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41412</v>
        <stp/>
        <stp>##V3_BDHV12</stp>
        <stp>XOM US Equity</stp>
        <stp>NON_CUR_LIAB</stp>
        <stp>FQ1 2000</stp>
        <stp>FQ1 2000</stp>
        <stp>[FA1_ivyerigx.xlsx]Bal Sheet - Standardized!R39C9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9" s="3"/>
      </tp>
      <tp>
        <v>-410</v>
        <stp/>
        <stp>##V3_BDHV12</stp>
        <stp>XOM US Equity</stp>
        <stp>IS_ABNORMAL_ITEM</stp>
        <stp>FQ4 2006</stp>
        <stp>FQ4 2006</stp>
        <stp>[FA1_ivyerigx.xlsx]Income - Adjusted!R17C36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7" s="2"/>
      </tp>
      <tp>
        <v>3624</v>
        <stp/>
        <stp>##V3_BDHV12</stp>
        <stp>XOM US Equity</stp>
        <stp>OTHER_CURRENT_LIABS_SUB_DETAILED</stp>
        <stp>FQ1 2002</stp>
        <stp>FQ1 2002</stp>
        <stp>[FA1_ivyerigx.xlsx]Bal Sheet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3"/>
      </tp>
      <tp>
        <v>9489</v>
        <stp/>
        <stp>##V3_BDHV12</stp>
        <stp>XOM US Equity</stp>
        <stp>OTHER_CURRENT_LIABS_SUB_DETAILED</stp>
        <stp>FQ3 2005</stp>
        <stp>FQ3 2005</stp>
        <stp>[FA1_ivyerigx.xlsx]Bal Sheet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3"/>
      </tp>
      <tp>
        <v>121</v>
        <stp/>
        <stp>##V3_BDHV12</stp>
        <stp>XOM US Equity</stp>
        <stp>IS_ABNORMAL_ITEM</stp>
        <stp>FQ1 2001</stp>
        <stp>FQ1 2001</stp>
        <stp>[FA1_ivyerigx.xlsx]Income - Adjusted!R17C13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7" s="2"/>
      </tp>
      <tp>
        <v>7008</v>
        <stp/>
        <stp>##V3_BDHV12</stp>
        <stp>XOM US Equity</stp>
        <stp>IS_INC_TAX_EXP</stp>
        <stp>FQ4 2005</stp>
        <stp>FQ4 2005</stp>
        <stp>[FA1_ivyerigx.xlsx]Income - Adjusted!R19C32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9" s="2"/>
      </tp>
      <tp>
        <v>8062</v>
        <stp/>
        <stp>##V3_BDHV12</stp>
        <stp>XOM US Equity</stp>
        <stp>IS_INC_TAX_EXP</stp>
        <stp>FQ4 2007</stp>
        <stp>FQ4 2007</stp>
        <stp>[FA1_ivyerigx.xlsx]Income - Adjusted!R19C40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19" s="2"/>
      </tp>
      <tp>
        <v>2728</v>
        <stp/>
        <stp>##V3_BDHV12</stp>
        <stp>XOM US Equity</stp>
        <stp>IS_INC_TAX_EXP</stp>
        <stp>FQ4 2003</stp>
        <stp>FQ4 2003</stp>
        <stp>[FA1_ivyerigx.xlsx]Income - Adjusted!R19C24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9" s="2"/>
      </tp>
      <tp>
        <v>1107</v>
        <stp/>
        <stp>##V3_BDHV12</stp>
        <stp>XOM US Equity</stp>
        <stp>IS_INC_TAX_EXP</stp>
        <stp>FQ4 2001</stp>
        <stp>FQ4 2001</stp>
        <stp>[FA1_ivyerigx.xlsx]Income - Adjusted!R19C16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9" s="2"/>
      </tp>
      <tp t="s">
        <v>—</v>
        <stp/>
        <stp>##V3_BDHV12</stp>
        <stp>XOM US Equity</stp>
        <stp>EQY_FLOAT</stp>
        <stp>FQ4 1998</stp>
        <stp>FQ4 1998</stp>
        <stp>[FA1_ivyerigx.xlsx]Stock Value!R14C4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4" s="6"/>
      </tp>
      <tp>
        <v>6318</v>
        <stp/>
        <stp>##V3_BDHV12</stp>
        <stp>XOM US Equity</stp>
        <stp>OTHER_CURRENT_LIABS_SUB_DETAILED</stp>
        <stp>FQ2 2004</stp>
        <stp>FQ2 2004</stp>
        <stp>[FA1_ivyerigx.xlsx]Bal Sheet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3"/>
      </tp>
      <tp>
        <v>12454</v>
        <stp/>
        <stp>##V3_BDHV12</stp>
        <stp>XOM US Equity</stp>
        <stp>OTHER_CURRENT_LIABS_SUB_DETAILED</stp>
        <stp>FQ3 2006</stp>
        <stp>FQ3 2006</stp>
        <stp>[FA1_ivyerigx.xlsx]Bal Sheet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3"/>
      </tp>
      <tp>
        <v>10654</v>
        <stp/>
        <stp>##V3_BDHV12</stp>
        <stp>XOM US Equity</stp>
        <stp>OTHER_CURRENT_LIABS_SUB_DETAILED</stp>
        <stp>FQ4 2007</stp>
        <stp>FQ4 2007</stp>
        <stp>[FA1_ivyerigx.xlsx]Bal Sheet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3"/>
      </tp>
      <tp>
        <v>6637</v>
        <stp/>
        <stp>##V3_BDHV12</stp>
        <stp>XOM US Equity</stp>
        <stp>OTHER_CURRENT_LIABS_SUB_DETAILED</stp>
        <stp>FQ1 2001</stp>
        <stp>FQ1 2001</stp>
        <stp>[FA1_ivyerigx.xlsx]Bal Sheet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3"/>
      </tp>
      <tp>
        <v>5791</v>
        <stp/>
        <stp>##V3_BDHV12</stp>
        <stp>XOM US Equity</stp>
        <stp>OTHER_CURRENT_LIABS_SUB_DETAILED</stp>
        <stp>FQ2 2003</stp>
        <stp>FQ2 2003</stp>
        <stp>[FA1_ivyerigx.xlsx]Bal Sheet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3"/>
      </tp>
      <tp>
        <v>10300</v>
        <stp/>
        <stp>##V3_BDHV12</stp>
        <stp>XOM US Equity</stp>
        <stp>OTHER_CURRENT_LIABS_SUB_DETAILED</stp>
        <stp>FQ3 2007</stp>
        <stp>FQ3 2007</stp>
        <stp>[FA1_ivyerigx.xlsx]Bal Sheet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3"/>
      </tp>
      <tp>
        <v>30</v>
        <stp/>
        <stp>##V3_BDHV12</stp>
        <stp>XOM US Equity</stp>
        <stp>IS_ABNORMAL_ITEM</stp>
        <stp>FQ2 2002</stp>
        <stp>FQ2 2002</stp>
        <stp>[FA1_ivyerigx.xlsx]Income - Adjusted!R17C18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7" s="2"/>
      </tp>
      <tp>
        <v>105995</v>
        <stp/>
        <stp>##V3_BDHV12</stp>
        <stp>XOM US Equity</stp>
        <stp>BS_AMT_OF_TSY_STOCK</stp>
        <stp>FQ3 2007</stp>
        <stp>FQ3 2007</stp>
        <stp>[FA1_ivyerigx.xlsx]Bal Sheet - Standardized!R43C39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3" s="3"/>
      </tp>
      <tp>
        <v>20899</v>
        <stp/>
        <stp>##V3_BDHV12</stp>
        <stp>XOM US Equity</stp>
        <stp>BS_AMT_OF_TSY_STOCK</stp>
        <stp>FQ1 2002</stp>
        <stp>FQ1 2002</stp>
        <stp>[FA1_ivyerigx.xlsx]Bal Sheet - Standardized!R43C17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3" s="3"/>
      </tp>
      <tp>
        <v>50078</v>
        <stp/>
        <stp>##V3_BDHV12</stp>
        <stp>XOM US Equity</stp>
        <stp>BS_AMT_OF_TSY_STOCK</stp>
        <stp>FQ3 2005</stp>
        <stp>FQ3 2005</stp>
        <stp>[FA1_ivyerigx.xlsx]Bal Sheet - Standardized!R43C31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3" s="3"/>
      </tp>
      <tp>
        <v>75430</v>
        <stp/>
        <stp>##V3_BDHV12</stp>
        <stp>XOM US Equity</stp>
        <stp>BS_AMT_OF_TSY_STOCK</stp>
        <stp>FQ3 2006</stp>
        <stp>FQ3 2006</stp>
        <stp>[FA1_ivyerigx.xlsx]Bal Sheet - Standardized!R43C35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3" s="3"/>
      </tp>
      <tp>
        <v>32652</v>
        <stp/>
        <stp>##V3_BDHV12</stp>
        <stp>XOM US Equity</stp>
        <stp>BS_AMT_OF_TSY_STOCK</stp>
        <stp>FQ2 2004</stp>
        <stp>FQ2 2004</stp>
        <stp>[FA1_ivyerigx.xlsx]Bal Sheet - Standardized!R43C26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3" s="3"/>
      </tp>
      <tp>
        <v>26105</v>
        <stp/>
        <stp>##V3_BDHV12</stp>
        <stp>XOM US Equity</stp>
        <stp>BS_AMT_OF_TSY_STOCK</stp>
        <stp>FQ2 2003</stp>
        <stp>FQ2 2003</stp>
        <stp>[FA1_ivyerigx.xlsx]Bal Sheet - Standardized!R43C22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3" s="3"/>
      </tp>
      <tp>
        <v>15510</v>
        <stp/>
        <stp>##V3_BDHV12</stp>
        <stp>XOM US Equity</stp>
        <stp>BS_AMT_OF_TSY_STOCK</stp>
        <stp>FQ1 2001</stp>
        <stp>FQ1 2001</stp>
        <stp>[FA1_ivyerigx.xlsx]Bal Sheet - Standardized!R43C13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3" s="3"/>
      </tp>
      <tp>
        <v>113678</v>
        <stp/>
        <stp>##V3_BDHV12</stp>
        <stp>XOM US Equity</stp>
        <stp>BS_AMT_OF_TSY_STOCK</stp>
        <stp>FQ4 2007</stp>
        <stp>FQ4 2007</stp>
        <stp>[FA1_ivyerigx.xlsx]Bal Sheet - Standardized!R43C40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3" s="3"/>
      </tp>
      <tp t="s">
        <v>—</v>
        <stp/>
        <stp>##V3_BDHV12</stp>
        <stp>XOM US Equity</stp>
        <stp>CASH_CONVERSION_CYCLE</stp>
        <stp>FQ4 1998</stp>
        <stp>FQ4 1998</stp>
        <stp>[FA1_ivyerigx.xlsx]Bal Sheet - Standardized!R64C4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64" s="3"/>
      </tp>
      <tp>
        <v>0</v>
        <stp/>
        <stp>##V3_BDHV12</stp>
        <stp>XOM US Equity</stp>
        <stp>OTHER_ADJUSTMENTS</stp>
        <stp>FQ1 2007</stp>
        <stp>FQ1 2007</stp>
        <stp>[FA1_ivyerigx.xlsx]Income - Adjusted!R26C37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2"/>
      </tp>
      <tp>
        <v>0</v>
        <stp/>
        <stp>##V3_BDHV12</stp>
        <stp>XOM US Equity</stp>
        <stp>OTHER_ADJUSTMENTS</stp>
        <stp>FQ4 2000</stp>
        <stp>FQ4 2000</stp>
        <stp>[FA1_ivyerigx.xlsx]Income - Adjusted!R26C12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2"/>
      </tp>
      <tp>
        <v>0</v>
        <stp/>
        <stp>##V3_BDHV12</stp>
        <stp>XOM US Equity</stp>
        <stp>OTHER_ADJUSTMENTS</stp>
        <stp>FQ3 2004</stp>
        <stp>FQ3 2004</stp>
        <stp>[FA1_ivyerigx.xlsx]Income - Adjusted!R26C27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2"/>
      </tp>
      <tp>
        <v>0</v>
        <stp/>
        <stp>##V3_BDHV12</stp>
        <stp>XOM US Equity</stp>
        <stp>OTHER_ADJUSTMENTS</stp>
        <stp>FQ3 2005</stp>
        <stp>FQ3 2005</stp>
        <stp>[FA1_ivyerigx.xlsx]Income - Adjusted!R26C31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2"/>
      </tp>
      <tp>
        <v>0</v>
        <stp/>
        <stp>##V3_BDHV12</stp>
        <stp>XOM US Equity</stp>
        <stp>OTHER_ADJUSTMENTS</stp>
        <stp>FQ4 2003</stp>
        <stp>FQ4 2003</stp>
        <stp>[FA1_ivyerigx.xlsx]Income - Adjusted!R26C24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2"/>
      </tp>
      <tp t="s">
        <v>—</v>
        <stp/>
        <stp>##V3_BDHV12</stp>
        <stp>XOM US Equity</stp>
        <stp>CF_CHANGE_IN_INVENTORIES</stp>
        <stp>FQ4 2001</stp>
        <stp>FQ4 2001</stp>
        <stp>[FA1_ivyerigx.xlsx]Cash Flow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4"/>
      </tp>
      <tp t="s">
        <v>—</v>
        <stp/>
        <stp>##V3_BDHV12</stp>
        <stp>XOM US Equity</stp>
        <stp>CF_CHANGE_IN_INVENTORIES</stp>
        <stp>FQ4 2000</stp>
        <stp>FQ4 2000</stp>
        <stp>[FA1_ivyerigx.xlsx]Cash Flow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4"/>
      </tp>
      <tp>
        <v>-3336</v>
        <stp/>
        <stp>##V3_BDHV12</stp>
        <stp>XOM US Equity</stp>
        <stp>NON_CASH_ITEMS_DETAILED</stp>
        <stp>FQ4 2007</stp>
        <stp>FQ4 2007</stp>
        <stp>[FA1_ivyerigx.xlsx]Cash Flow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4"/>
      </tp>
      <tp t="s">
        <v>—</v>
        <stp/>
        <stp>##V3_BDHV12</stp>
        <stp>XOM US Equity</stp>
        <stp>CF_CHANGE_IN_INVENTORIES</stp>
        <stp>FQ1 2008</stp>
        <stp>FQ1 2008</stp>
        <stp>[FA1_ivyerigx.xlsx]Cash Flow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4"/>
      </tp>
      <tp>
        <v>-377</v>
        <stp/>
        <stp>##V3_BDHV12</stp>
        <stp>XOM US Equity</stp>
        <stp>NON_CASH_ITEMS_DETAILED</stp>
        <stp>FQ1 2008</stp>
        <stp>FQ1 2008</stp>
        <stp>[FA1_ivyerigx.xlsx]Cash Flow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4"/>
      </tp>
      <tp>
        <v>-835</v>
        <stp/>
        <stp>##V3_BDHV12</stp>
        <stp>XOM US Equity</stp>
        <stp>NON_CASH_ITEMS_DETAILED</stp>
        <stp>FQ2 2008</stp>
        <stp>FQ2 2008</stp>
        <stp>[FA1_ivyerigx.xlsx]Cash Flow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4"/>
      </tp>
      <tp t="s">
        <v>—</v>
        <stp/>
        <stp>##V3_BDHV12</stp>
        <stp>XOM US Equity</stp>
        <stp>IS_OTHER_OPER_INC</stp>
        <stp>FQ1 1999</stp>
        <stp>FQ1 1999</stp>
        <stp>[FA1_ivyerigx.xlsx]Income - Adjusted!R9C5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9" s="2"/>
      </tp>
      <tp>
        <v>7429</v>
        <stp/>
        <stp>##V3_BDHV12</stp>
        <stp>XOM US Equity</stp>
        <stp>OTHER_CURRENT_LIABS_SUB_DETAILED</stp>
        <stp>FQ2 2005</stp>
        <stp>FQ2 2005</stp>
        <stp>[FA1_ivyerigx.xlsx]Bal Sheet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3"/>
      </tp>
      <tp>
        <v>-1700</v>
        <stp/>
        <stp>##V3_BDHV12</stp>
        <stp>XOM US Equity</stp>
        <stp>IS_ABNORMAL_ITEM</stp>
        <stp>FQ1 2003</stp>
        <stp>FQ1 2003</stp>
        <stp>[FA1_ivyerigx.xlsx]Income - Adjusted!R17C21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7" s="2"/>
      </tp>
      <tp t="s">
        <v>—</v>
        <stp/>
        <stp>##V3_BDHV12</stp>
        <stp>XOM US Equity</stp>
        <stp>IS_OTHER_OPER_INC</stp>
        <stp>FQ3 1999</stp>
        <stp>FQ3 1999</stp>
        <stp>[FA1_ivyerigx.xlsx]Income - Adjusted!R9C7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9" s="2"/>
      </tp>
      <tp t="s">
        <v>—</v>
        <stp/>
        <stp>##V3_BDHV12</stp>
        <stp>XOM US Equity</stp>
        <stp>IS_OTHER_OPER_INC</stp>
        <stp>FQ2 1999</stp>
        <stp>FQ2 1999</stp>
        <stp>[FA1_ivyerigx.xlsx]Income - Adjusted!R9C6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9" s="2"/>
      </tp>
      <tp>
        <v>7175</v>
        <stp/>
        <stp>##V3_BDHV12</stp>
        <stp>XOM US Equity</stp>
        <stp>OTHER_CURRENT_LIABS_SUB_DETAILED</stp>
        <stp>FQ3 2004</stp>
        <stp>FQ3 2004</stp>
        <stp>[FA1_ivyerigx.xlsx]Bal Sheet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3"/>
      </tp>
      <tp>
        <v>10288</v>
        <stp/>
        <stp>##V3_BDHV12</stp>
        <stp>XOM US Equity</stp>
        <stp>OTHER_CURRENT_LIABS_SUB_DETAILED</stp>
        <stp>FQ2 2006</stp>
        <stp>FQ2 2006</stp>
        <stp>[FA1_ivyerigx.xlsx]Bal Sheet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3"/>
      </tp>
      <tp>
        <v>6906</v>
        <stp/>
        <stp>##V3_BDHV12</stp>
        <stp>XOM US Equity</stp>
        <stp>OTHER_CURRENT_LIABS_SUB_DETAILED</stp>
        <stp>FQ3 2003</stp>
        <stp>FQ3 2003</stp>
        <stp>[FA1_ivyerigx.xlsx]Bal Sheet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3"/>
      </tp>
      <tp t="s">
        <v>—</v>
        <stp/>
        <stp>##V3_BDHV12</stp>
        <stp>XOM US Equity</stp>
        <stp>EQY_FLOAT</stp>
        <stp>FQ1 1999</stp>
        <stp>FQ1 1999</stp>
        <stp>[FA1_ivyerigx.xlsx]Stock Value!R14C5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4" s="6"/>
      </tp>
      <tp>
        <v>8636</v>
        <stp/>
        <stp>##V3_BDHV12</stp>
        <stp>XOM US Equity</stp>
        <stp>OTHER_CURRENT_LIABS_SUB_DETAILED</stp>
        <stp>FQ2 2007</stp>
        <stp>FQ2 2007</stp>
        <stp>[FA1_ivyerigx.xlsx]Bal Sheet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3"/>
      </tp>
      <tp>
        <v>20474</v>
        <stp/>
        <stp>##V3_BDHV12</stp>
        <stp>XOM US Equity</stp>
        <stp>PRETAX_INC</stp>
        <stp>FQ1 2008</stp>
        <stp>FQ1 2008</stp>
        <stp>[FA1_ivyerigx.xlsx]Income - Adjusted!R16C41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6" s="2"/>
      </tp>
      <tp>
        <v>300</v>
        <stp/>
        <stp>##V3_BDHV12</stp>
        <stp>XOM US Equity</stp>
        <stp>IS_ABNORMAL_ITEM</stp>
        <stp>FQ3 2002</stp>
        <stp>FQ3 2002</stp>
        <stp>[FA1_ivyerigx.xlsx]Income - Adjusted!R17C19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7" s="2"/>
      </tp>
      <tp>
        <v>14102</v>
        <stp/>
        <stp>##V3_BDHV12</stp>
        <stp>XOM US Equity</stp>
        <stp>GROSS_PROFIT</stp>
        <stp>FQ1 2005</stp>
        <stp>FQ1 2005</stp>
        <stp>[FA1_ivyerigx.xlsx]Income - Adjusted!R8C29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8" s="2"/>
      </tp>
      <tp>
        <v>19062</v>
        <stp/>
        <stp>##V3_BDHV12</stp>
        <stp>XOM US Equity</stp>
        <stp>GROSS_PROFIT</stp>
        <stp>FQ2 2007</stp>
        <stp>FQ2 2007</stp>
        <stp>[FA1_ivyerigx.xlsx]Income - Adjusted!R8C38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8" s="2"/>
      </tp>
      <tp>
        <v>17915</v>
        <stp/>
        <stp>##V3_BDHV12</stp>
        <stp>XOM US Equity</stp>
        <stp>GROSS_PROFIT</stp>
        <stp>FQ3 2007</stp>
        <stp>FQ3 2007</stp>
        <stp>[FA1_ivyerigx.xlsx]Income - Adjusted!R8C39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8" s="2"/>
      </tp>
      <tp>
        <v>98454</v>
        <stp/>
        <stp>##V3_BDHV12</stp>
        <stp>XOM US Equity</stp>
        <stp>BS_AMT_OF_TSY_STOCK</stp>
        <stp>FQ2 2007</stp>
        <stp>FQ2 2007</stp>
        <stp>[FA1_ivyerigx.xlsx]Bal Sheet - Standardized!R43C38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3" s="3"/>
      </tp>
      <tp t="s">
        <v>—</v>
        <stp/>
        <stp>##V3_BDHV12</stp>
        <stp>XOM US Equity</stp>
        <stp>BS_ACCTS_REC_EXCL_NOTES_REC</stp>
        <stp>FQ1 2008</stp>
        <stp>FQ1 2008</stp>
        <stp>[FA1_ivyerigx.xlsx]Bal Sheet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3"/>
      </tp>
      <tp>
        <v>33403</v>
        <stp/>
        <stp>##V3_BDHV12</stp>
        <stp>XOM US Equity</stp>
        <stp>OTHER_NONCURRENT_LIABS_DETAILED</stp>
        <stp>FQ1 2000</stp>
        <stp>FQ1 2000</stp>
        <stp>[FA1_ivyerigx.xlsx]Bal Sheet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3"/>
      </tp>
      <tp t="s">
        <v>—</v>
        <stp/>
        <stp>##V3_BDHV12</stp>
        <stp>XOM US Equity</stp>
        <stp>BS_ACCTS_REC_EXCL_NOTES_REC</stp>
        <stp>FQ4 2001</stp>
        <stp>FQ4 2001</stp>
        <stp>[FA1_ivyerigx.xlsx]Bal Sheet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3"/>
      </tp>
      <tp>
        <v>44772</v>
        <stp/>
        <stp>##V3_BDHV12</stp>
        <stp>XOM US Equity</stp>
        <stp>BS_AMT_OF_TSY_STOCK</stp>
        <stp>FQ2 2005</stp>
        <stp>FQ2 2005</stp>
        <stp>[FA1_ivyerigx.xlsx]Bal Sheet - Standardized!R43C30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3" s="3"/>
      </tp>
      <tp>
        <v>67460</v>
        <stp/>
        <stp>##V3_BDHV12</stp>
        <stp>XOM US Equity</stp>
        <stp>BS_AMT_OF_TSY_STOCK</stp>
        <stp>FQ2 2006</stp>
        <stp>FQ2 2006</stp>
        <stp>[FA1_ivyerigx.xlsx]Bal Sheet - Standardized!R43C34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3" s="3"/>
      </tp>
      <tp>
        <v>35422</v>
        <stp/>
        <stp>##V3_BDHV12</stp>
        <stp>XOM US Equity</stp>
        <stp>BS_AMT_OF_TSY_STOCK</stp>
        <stp>FQ3 2004</stp>
        <stp>FQ3 2004</stp>
        <stp>[FA1_ivyerigx.xlsx]Bal Sheet - Standardized!R43C27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3" s="3"/>
      </tp>
      <tp t="s">
        <v>—</v>
        <stp/>
        <stp>##V3_BDHV12</stp>
        <stp>XOM US Equity</stp>
        <stp>BS_ACCTS_REC_EXCL_NOTES_REC</stp>
        <stp>FQ4 2000</stp>
        <stp>FQ4 2000</stp>
        <stp>[FA1_ivyerigx.xlsx]Bal Sheet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3"/>
      </tp>
      <tp>
        <v>27688</v>
        <stp/>
        <stp>##V3_BDHV12</stp>
        <stp>XOM US Equity</stp>
        <stp>BS_AMT_OF_TSY_STOCK</stp>
        <stp>FQ3 2003</stp>
        <stp>FQ3 2003</stp>
        <stp>[FA1_ivyerigx.xlsx]Bal Sheet - Standardized!R43C23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3" s="3"/>
      </tp>
      <tp>
        <v>3.6503000000000001</v>
        <stp/>
        <stp>##V3_BDHV12</stp>
        <stp>XOM US Equity</stp>
        <stp>CASH_CONVERSION_CYCLE</stp>
        <stp>FQ4 1999</stp>
        <stp>FQ4 1999</stp>
        <stp>[FA1_ivyerigx.xlsx]Bal Sheet - Standardized!R64C8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64" s="3"/>
      </tp>
      <tp>
        <v>2241</v>
        <stp/>
        <stp>##V3_BDHV12</stp>
        <stp>XOM US Equity</stp>
        <stp>IS_INC_TAX_EXP</stp>
        <stp>FQ1 2000</stp>
        <stp>FQ1 2000</stp>
        <stp>[FA1_ivyerigx.xlsx]Income - Adjusted!R19C9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9" s="2"/>
      </tp>
      <tp>
        <v>0</v>
        <stp/>
        <stp>##V3_BDHV12</stp>
        <stp>XOM US Equity</stp>
        <stp>OTHER_ADJUSTMENTS</stp>
        <stp>FQ2 2004</stp>
        <stp>FQ2 2004</stp>
        <stp>[FA1_ivyerigx.xlsx]Income - Adjusted!R26C26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2"/>
      </tp>
      <tp>
        <v>0</v>
        <stp/>
        <stp>##V3_BDHV12</stp>
        <stp>XOM US Equity</stp>
        <stp>OTHER_ADJUSTMENTS</stp>
        <stp>FQ4 2002</stp>
        <stp>FQ4 2002</stp>
        <stp>[FA1_ivyerigx.xlsx]Income - Adjusted!R26C20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2"/>
      </tp>
      <tp t="s">
        <v>—</v>
        <stp/>
        <stp>##V3_BDHV12</stp>
        <stp>XOM US Equity</stp>
        <stp>OTHER_ADJUSTMENTS</stp>
        <stp>FQ1 2006</stp>
        <stp>FQ1 2006</stp>
        <stp>[FA1_ivyerigx.xlsx]Income - Adjusted!R26C33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2"/>
      </tp>
      <tp>
        <v>0</v>
        <stp/>
        <stp>##V3_BDHV12</stp>
        <stp>XOM US Equity</stp>
        <stp>OTHER_ADJUSTMENTS</stp>
        <stp>FQ2 2005</stp>
        <stp>FQ2 2005</stp>
        <stp>[FA1_ivyerigx.xlsx]Income - Adjusted!R26C30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2"/>
      </tp>
      <tp>
        <v>0</v>
        <stp/>
        <stp>##V3_BDHV12</stp>
        <stp>XOM US Equity</stp>
        <stp>OTHER_ADJUSTMENTS</stp>
        <stp>FQ4 2001</stp>
        <stp>FQ4 2001</stp>
        <stp>[FA1_ivyerigx.xlsx]Income - Adjusted!R26C16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2"/>
      </tp>
      <tp>
        <v>52.821300000000001</v>
        <stp/>
        <stp>##V3_BDHV12</stp>
        <stp>XOM US Equity</stp>
        <stp>PX_TO_FREE_CASH_FLOW</stp>
        <stp>FQ1 1999</stp>
        <stp>FQ1 1999</stp>
        <stp>[FA1_ivyerigx.xlsx]Cash Flow - Standardized!R50C5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0" s="4"/>
      </tp>
      <tp>
        <v>101.9796</v>
        <stp/>
        <stp>##V3_BDHV12</stp>
        <stp>XOM US Equity</stp>
        <stp>PX_TO_FREE_CASH_FLOW</stp>
        <stp>FQ2 1999</stp>
        <stp>FQ2 1999</stp>
        <stp>[FA1_ivyerigx.xlsx]Cash Flow - Standardized!R50C6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0" s="4"/>
      </tp>
      <tp>
        <v>100.53659999999999</v>
        <stp/>
        <stp>##V3_BDHV12</stp>
        <stp>XOM US Equity</stp>
        <stp>PX_TO_FREE_CASH_FLOW</stp>
        <stp>FQ3 1999</stp>
        <stp>FQ3 1999</stp>
        <stp>[FA1_ivyerigx.xlsx]Cash Flow - Standardized!R50C7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0" s="4"/>
      </tp>
      <tp t="s">
        <v>—</v>
        <stp/>
        <stp>##V3_BDHV12</stp>
        <stp>XOM US Equity</stp>
        <stp>EBITA</stp>
        <stp>FQ1 1999</stp>
        <stp>FQ1 1999</stp>
        <stp>[FA1_ivyerigx.xlsx]Income - Adjusted!R47C5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7" s="2"/>
      </tp>
      <tp t="s">
        <v>—</v>
        <stp/>
        <stp>##V3_BDHV12</stp>
        <stp>XOM US Equity</stp>
        <stp>EBITA</stp>
        <stp>FQ2 1999</stp>
        <stp>FQ2 1999</stp>
        <stp>[FA1_ivyerigx.xlsx]Income - Adjusted!R47C6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7" s="2"/>
      </tp>
      <tp t="s">
        <v>—</v>
        <stp/>
        <stp>##V3_BDHV12</stp>
        <stp>XOM US Equity</stp>
        <stp>EBITA</stp>
        <stp>FQ3 1999</stp>
        <stp>FQ3 1999</stp>
        <stp>[FA1_ivyerigx.xlsx]Income - Adjusted!R47C7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7" s="2"/>
      </tp>
      <tp t="s">
        <v>—</v>
        <stp/>
        <stp>##V3_BDHV12</stp>
        <stp>XOM US Equity</stp>
        <stp>CF_CHANGE_IN_INVENTORIES</stp>
        <stp>FQ3 2000</stp>
        <stp>FQ3 2000</stp>
        <stp>[FA1_ivyerigx.xlsx]Cash Flow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4"/>
      </tp>
      <tp t="s">
        <v>—</v>
        <stp/>
        <stp>##V3_BDHV12</stp>
        <stp>XOM US Equity</stp>
        <stp>CF_CHANGE_IN_INVENTORIES</stp>
        <stp>FQ1 2007</stp>
        <stp>FQ1 2007</stp>
        <stp>[FA1_ivyerigx.xlsx]Cash Flow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4"/>
      </tp>
      <tp>
        <v>273</v>
        <stp/>
        <stp>##V3_BDHV12</stp>
        <stp>XOM US Equity</stp>
        <stp>NON_CASH_ITEMS_DETAILED</stp>
        <stp>FQ2 2007</stp>
        <stp>FQ2 2007</stp>
        <stp>[FA1_ivyerigx.xlsx]Cash Flow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4"/>
      </tp>
      <tp>
        <v>845</v>
        <stp/>
        <stp>##V3_BDHV12</stp>
        <stp>XOM US Equity</stp>
        <stp>NON_CASH_ITEMS_DETAILED</stp>
        <stp>FQ3 2007</stp>
        <stp>FQ3 2007</stp>
        <stp>[FA1_ivyerigx.xlsx]Cash Flow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4"/>
      </tp>
      <tp t="s">
        <v>—</v>
        <stp/>
        <stp>##V3_BDHV12</stp>
        <stp>XOM US Equity</stp>
        <stp>CF_CHANGE_IN_INVENTORIES</stp>
        <stp>FQ3 2001</stp>
        <stp>FQ3 2001</stp>
        <stp>[FA1_ivyerigx.xlsx]Cash Flow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4"/>
      </tp>
      <tp t="s">
        <v>—</v>
        <stp/>
        <stp>##V3_BDHV12</stp>
        <stp>XOM US Equity</stp>
        <stp>CF_CHANGE_IN_INVENTORIES</stp>
        <stp>FQ1 2006</stp>
        <stp>FQ1 2006</stp>
        <stp>[FA1_ivyerigx.xlsx]Cash Flow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4"/>
      </tp>
      <tp>
        <v>-1557</v>
        <stp/>
        <stp>##V3_BDHV12</stp>
        <stp>XOM US Equity</stp>
        <stp>NON_CASH_ITEMS_DETAILED</stp>
        <stp>FQ3 2006</stp>
        <stp>FQ3 2006</stp>
        <stp>[FA1_ivyerigx.xlsx]Cash Flow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4"/>
      </tp>
      <tp>
        <v>431</v>
        <stp/>
        <stp>##V3_BDHV12</stp>
        <stp>XOM US Equity</stp>
        <stp>NON_CASH_ITEMS_DETAILED</stp>
        <stp>FQ2 2006</stp>
        <stp>FQ2 2006</stp>
        <stp>[FA1_ivyerigx.xlsx]Cash Flow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4"/>
      </tp>
      <tp>
        <v>221</v>
        <stp/>
        <stp>##V3_BDHV12</stp>
        <stp>XOM US Equity</stp>
        <stp>NON_CASH_ITEMS_DETAILED</stp>
        <stp>FQ1 2007</stp>
        <stp>FQ1 2007</stp>
        <stp>[FA1_ivyerigx.xlsx]Cash Flow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4"/>
      </tp>
      <tp>
        <v>-430</v>
        <stp/>
        <stp>##V3_BDHV12</stp>
        <stp>XOM US Equity</stp>
        <stp>NON_CASH_ITEMS_DETAILED</stp>
        <stp>FQ4 2005</stp>
        <stp>FQ4 2005</stp>
        <stp>[FA1_ivyerigx.xlsx]Cash Flow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4"/>
      </tp>
      <tp t="s">
        <v>—</v>
        <stp/>
        <stp>##V3_BDHV12</stp>
        <stp>XOM US Equity</stp>
        <stp>CF_CHANGE_IN_INVENTORIES</stp>
        <stp>FQ3 2002</stp>
        <stp>FQ3 2002</stp>
        <stp>[FA1_ivyerigx.xlsx]Cash Flow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4"/>
      </tp>
      <tp>
        <v>330</v>
        <stp/>
        <stp>##V3_BDHV12</stp>
        <stp>XOM US Equity</stp>
        <stp>NON_CASH_ITEMS_DETAILED</stp>
        <stp>FQ1 2006</stp>
        <stp>FQ1 2006</stp>
        <stp>[FA1_ivyerigx.xlsx]Cash Flow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4"/>
      </tp>
      <tp>
        <v>-167</v>
        <stp/>
        <stp>##V3_BDHV12</stp>
        <stp>XOM US Equity</stp>
        <stp>NON_CASH_ITEMS_DETAILED</stp>
        <stp>FQ2 2005</stp>
        <stp>FQ2 2005</stp>
        <stp>[FA1_ivyerigx.xlsx]Cash Flow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4"/>
      </tp>
      <tp>
        <v>-319</v>
        <stp/>
        <stp>##V3_BDHV12</stp>
        <stp>XOM US Equity</stp>
        <stp>NON_CASH_ITEMS_DETAILED</stp>
        <stp>FQ3 2005</stp>
        <stp>FQ3 2005</stp>
        <stp>[FA1_ivyerigx.xlsx]Cash Flow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4"/>
      </tp>
      <tp>
        <v>-371</v>
        <stp/>
        <stp>##V3_BDHV12</stp>
        <stp>XOM US Equity</stp>
        <stp>NON_CASH_ITEMS_DETAILED</stp>
        <stp>FQ4 2006</stp>
        <stp>FQ4 2006</stp>
        <stp>[FA1_ivyerigx.xlsx]Cash Flow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4"/>
      </tp>
      <tp t="s">
        <v>—</v>
        <stp/>
        <stp>##V3_BDHV12</stp>
        <stp>XOM US Equity</stp>
        <stp>IS_ABNORMAL_ITEM</stp>
        <stp>FQ1 2004</stp>
        <stp>FQ1 2004</stp>
        <stp>[FA1_ivyerigx.xlsx]Income - Adjusted!R17C25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7" s="2"/>
      </tp>
      <tp t="s">
        <v>—</v>
        <stp/>
        <stp>##V3_BDHV12</stp>
        <stp>XOM US Equity</stp>
        <stp>IS_ABNORMAL_ITEM</stp>
        <stp>FQ2 2006</stp>
        <stp>FQ2 2006</stp>
        <stp>[FA1_ivyerigx.xlsx]Income - Adjusted!R17C34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7" s="2"/>
      </tp>
      <tp>
        <v>3522</v>
        <stp/>
        <stp>##V3_BDHV12</stp>
        <stp>XOM US Equity</stp>
        <stp>IS_INC_TAX_EXP</stp>
        <stp>FQ1 2004</stp>
        <stp>FQ1 2004</stp>
        <stp>[FA1_ivyerigx.xlsx]Income - Adjusted!R19C25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9" s="2"/>
      </tp>
      <tp>
        <v>2637</v>
        <stp/>
        <stp>##V3_BDHV12</stp>
        <stp>XOM US Equity</stp>
        <stp>IS_INC_TAX_EXP</stp>
        <stp>FQ3 2000</stp>
        <stp>FQ3 2000</stp>
        <stp>[FA1_ivyerigx.xlsx]Income - Adjusted!R19C11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9" s="2"/>
      </tp>
      <tp>
        <v>2578</v>
        <stp/>
        <stp>##V3_BDHV12</stp>
        <stp>XOM US Equity</stp>
        <stp>IS_INC_TAX_EXP</stp>
        <stp>FQ2 2003</stp>
        <stp>FQ2 2003</stp>
        <stp>[FA1_ivyerigx.xlsx]Income - Adjusted!R19C22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9" s="2"/>
      </tp>
      <tp>
        <v>15290</v>
        <stp/>
        <stp>##V3_BDHV12</stp>
        <stp>XOM US Equity</stp>
        <stp>OTHER_CURRENT_LIABS_SUB_DETAILED</stp>
        <stp>FQ4 2002</stp>
        <stp>FQ4 2002</stp>
        <stp>[FA1_ivyerigx.xlsx]Bal Sheet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3"/>
      </tp>
      <tp>
        <v>18263</v>
        <stp/>
        <stp>##V3_BDHV12</stp>
        <stp>XOM US Equity</stp>
        <stp>OTHER_CURRENT_LIABS_SUB_DETAILED</stp>
        <stp>FQ4 2003</stp>
        <stp>FQ4 2003</stp>
        <stp>[FA1_ivyerigx.xlsx]Bal Sheet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3"/>
      </tp>
      <tp>
        <v>15.2037</v>
        <stp/>
        <stp>##V3_BDHV12</stp>
        <stp>XOM US Equity</stp>
        <stp>EBITDA_MARGIN</stp>
        <stp>FQ3 1998</stp>
        <stp>FQ3 1998</stp>
        <stp>[FA1_ivyerigx.xlsx]Income - Adjusted!R46C3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6" s="2"/>
      </tp>
      <tp t="s">
        <v>—</v>
        <stp/>
        <stp>##V3_BDHV12</stp>
        <stp>XOM US Equity</stp>
        <stp>EBITDA_MARGIN</stp>
        <stp>FQ4 1998</stp>
        <stp>FQ4 1998</stp>
        <stp>[FA1_ivyerigx.xlsx]Income - Adjusted!R46C4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6" s="2"/>
      </tp>
      <tp t="s">
        <v>—</v>
        <stp/>
        <stp>##V3_BDHV12</stp>
        <stp>XOM US Equity</stp>
        <stp>IS_ABNORMAL_ITEM</stp>
        <stp>FQ4 2007</stp>
        <stp>FQ4 2007</stp>
        <stp>[FA1_ivyerigx.xlsx]Income - Adjusted!R17C40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7" s="2"/>
      </tp>
      <tp>
        <v>17044</v>
        <stp/>
        <stp>##V3_BDHV12</stp>
        <stp>XOM US Equity</stp>
        <stp>PRETAX_INC</stp>
        <stp>FQ3 2007</stp>
        <stp>FQ3 2007</stp>
        <stp>[FA1_ivyerigx.xlsx]Income - Adjusted!R16C39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6" s="2"/>
      </tp>
      <tp>
        <v>21515</v>
        <stp/>
        <stp>##V3_BDHV12</stp>
        <stp>XOM US Equity</stp>
        <stp>OTHER_CURRENT_LIABS_SUB_DETAILED</stp>
        <stp>FQ4 2004</stp>
        <stp>FQ4 2004</stp>
        <stp>[FA1_ivyerigx.xlsx]Bal Sheet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3"/>
      </tp>
      <tp>
        <v>14661</v>
        <stp/>
        <stp>##V3_BDHV12</stp>
        <stp>XOM US Equity</stp>
        <stp>OTHER_CURRENT_LIABS_SUB_DETAILED</stp>
        <stp>FQ2 2008</stp>
        <stp>FQ2 2008</stp>
        <stp>[FA1_ivyerigx.xlsx]Bal Sheet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3"/>
      </tp>
      <tp t="s">
        <v>—</v>
        <stp/>
        <stp>##V3_BDHV12</stp>
        <stp>XOM US Equity</stp>
        <stp>IS_ABNORMAL_ITEM</stp>
        <stp>FQ3 2007</stp>
        <stp>FQ3 2007</stp>
        <stp>[FA1_ivyerigx.xlsx]Income - Adjusted!R17C39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7" s="2"/>
      </tp>
      <tp>
        <v>33403</v>
        <stp/>
        <stp>##V3_BDHV12</stp>
        <stp>XOM US Equity</stp>
        <stp>OTHER_NONCUR_LIABS_SUB_DETAILED</stp>
        <stp>FQ1 2000</stp>
        <stp>FQ1 2000</stp>
        <stp>[FA1_ivyerigx.xlsx]Bal Sheet - Standardized!R37C9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7" s="3"/>
      </tp>
      <tp t="s">
        <v>—</v>
        <stp/>
        <stp>##V3_BDHV12</stp>
        <stp>XOM US Equity</stp>
        <stp>CF_NET_INC</stp>
        <stp>FQ4 1998</stp>
        <stp>FQ4 1998</stp>
        <stp>[FA1_ivyerigx.xlsx]Cash Flow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4"/>
      </tp>
      <tp t="s">
        <v>—</v>
        <stp/>
        <stp>##V3_BDHV12</stp>
        <stp>XOM US Equity</stp>
        <stp>IS_FOREIGN_EXCH_LOSS</stp>
        <stp>FQ3 1999</stp>
        <stp>FQ3 1999</stp>
        <stp>[FA1_ivyerigx.xlsx]Income - Adjusted!R15C7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5" s="2"/>
      </tp>
      <tp t="s">
        <v>—</v>
        <stp/>
        <stp>##V3_BDHV12</stp>
        <stp>XOM US Equity</stp>
        <stp>IS_FOREIGN_EXCH_LOSS</stp>
        <stp>FQ2 1999</stp>
        <stp>FQ2 1999</stp>
        <stp>[FA1_ivyerigx.xlsx]Income - Adjusted!R15C6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5" s="2"/>
      </tp>
      <tp t="s">
        <v>—</v>
        <stp/>
        <stp>##V3_BDHV12</stp>
        <stp>XOM US Equity</stp>
        <stp>IS_FOREIGN_EXCH_LOSS</stp>
        <stp>FQ1 1999</stp>
        <stp>FQ1 1999</stp>
        <stp>[FA1_ivyerigx.xlsx]Income - Adjusted!R15C5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5" s="2"/>
      </tp>
      <tp>
        <v>4858</v>
        <stp/>
        <stp>##V3_BDHV12</stp>
        <stp>XOM US Equity</stp>
        <stp>IS_AVG_NUM_SH_FOR_EPS</stp>
        <stp>FQ4 1998</stp>
        <stp>FQ4 1998</stp>
        <stp>[FA1_ivyerigx.xlsx]Income - Adjusted!R33C4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3" s="2"/>
      </tp>
      <tp>
        <v>4870</v>
        <stp/>
        <stp>##V3_BDHV12</stp>
        <stp>XOM US Equity</stp>
        <stp>IS_AVG_NUM_SH_FOR_EPS</stp>
        <stp>FQ3 1998</stp>
        <stp>FQ3 1998</stp>
        <stp>[FA1_ivyerigx.xlsx]Income - Adjusted!R33C3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3" s="2"/>
      </tp>
      <tp>
        <v>1400</v>
        <stp/>
        <stp>##V3_BDHV12</stp>
        <stp>XOM US Equity</stp>
        <stp>CF_NET_INC</stp>
        <stp>FQ3 1998</stp>
        <stp>FQ3 1998</stp>
        <stp>[FA1_ivyerigx.xlsx]Cash Flow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4"/>
      </tp>
      <tp>
        <v>0.28999999999999998</v>
        <stp/>
        <stp>##V3_BDHV12</stp>
        <stp>XOM US Equity</stp>
        <stp>IS_BASIC_EPS_CONT_OPS</stp>
        <stp>FQ3 1998</stp>
        <stp>FQ3 1998</stp>
        <stp>[FA1_ivyerigx.xlsx]Income - Adjusted!R36C3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6" s="2"/>
      </tp>
      <tp>
        <v>0.315</v>
        <stp/>
        <stp>##V3_BDHV12</stp>
        <stp>XOM US Equity</stp>
        <stp>IS_BASIC_EPS_CONT_OPS</stp>
        <stp>FQ4 1998</stp>
        <stp>FQ4 1998</stp>
        <stp>[FA1_ivyerigx.xlsx]Income - Adjusted!R36C4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6" s="2"/>
      </tp>
      <tp t="s">
        <v>—</v>
        <stp/>
        <stp>##V3_BDHV12</stp>
        <stp>XOM US Equity</stp>
        <stp>BS_ACCTS_REC_EXCL_NOTES_REC</stp>
        <stp>FQ3 2002</stp>
        <stp>FQ3 2002</stp>
        <stp>[FA1_ivyerigx.xlsx]Bal Sheet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3"/>
      </tp>
      <tp>
        <v>38214</v>
        <stp/>
        <stp>##V3_BDHV12</stp>
        <stp>XOM US Equity</stp>
        <stp>BS_AMT_OF_TSY_STOCK</stp>
        <stp>FQ4 2004</stp>
        <stp>FQ4 2004</stp>
        <stp>[FA1_ivyerigx.xlsx]Bal Sheet - Standardized!R43C28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3" s="3"/>
      </tp>
      <tp>
        <v>131036</v>
        <stp/>
        <stp>##V3_BDHV12</stp>
        <stp>XOM US Equity</stp>
        <stp>BS_AMT_OF_TSY_STOCK</stp>
        <stp>FQ2 2008</stp>
        <stp>FQ2 2008</stp>
        <stp>[FA1_ivyerigx.xlsx]Bal Sheet - Standardized!R43C42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3" s="3"/>
      </tp>
      <tp t="s">
        <v>—</v>
        <stp/>
        <stp>##V3_BDHV12</stp>
        <stp>XOM US Equity</stp>
        <stp>BS_ACCTS_REC_EXCL_NOTES_REC</stp>
        <stp>FQ3 2000</stp>
        <stp>FQ3 2000</stp>
        <stp>[FA1_ivyerigx.xlsx]Bal Sheet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3"/>
      </tp>
      <tp>
        <v>4916</v>
        <stp/>
        <stp>##V3_BDHV12</stp>
        <stp>XOM US Equity</stp>
        <stp>IS_SH_FOR_DILUTED_EPS</stp>
        <stp>FQ4 1998</stp>
        <stp>FQ4 1998</stp>
        <stp>[FA1_ivyerigx.xlsx]Income - Adjusted!R38C4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8" s="2"/>
      </tp>
      <tp>
        <v>4930</v>
        <stp/>
        <stp>##V3_BDHV12</stp>
        <stp>XOM US Equity</stp>
        <stp>IS_SH_FOR_DILUTED_EPS</stp>
        <stp>FQ3 1998</stp>
        <stp>FQ3 1998</stp>
        <stp>[FA1_ivyerigx.xlsx]Income - Adjusted!R38C3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8" s="2"/>
      </tp>
      <tp t="s">
        <v>—</v>
        <stp/>
        <stp>##V3_BDHV12</stp>
        <stp>XOM US Equity</stp>
        <stp>BS_ACCTS_REC_EXCL_NOTES_REC</stp>
        <stp>FQ1 2007</stp>
        <stp>FQ1 2007</stp>
        <stp>[FA1_ivyerigx.xlsx]Bal Sheet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3"/>
      </tp>
      <tp t="s">
        <v>—</v>
        <stp/>
        <stp>##V3_BDHV12</stp>
        <stp>XOM US Equity</stp>
        <stp>TCE_RATIO</stp>
        <stp>FQ4 1999</stp>
        <stp>FQ4 1999</stp>
        <stp>[FA1_ivyerigx.xlsx]Bal Sheet - Standardized!R62C8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2" s="3"/>
      </tp>
      <tp>
        <v>24770</v>
        <stp/>
        <stp>##V3_BDHV12</stp>
        <stp>XOM US Equity</stp>
        <stp>BS_AMT_OF_TSY_STOCK</stp>
        <stp>FQ4 2002</stp>
        <stp>FQ4 2002</stp>
        <stp>[FA1_ivyerigx.xlsx]Bal Sheet - Standardized!R43C20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3" s="3"/>
      </tp>
      <tp t="s">
        <v>—</v>
        <stp/>
        <stp>##V3_BDHV12</stp>
        <stp>XOM US Equity</stp>
        <stp>BS_ACCTS_REC_EXCL_NOTES_REC</stp>
        <stp>FQ3 2001</stp>
        <stp>FQ3 2001</stp>
        <stp>[FA1_ivyerigx.xlsx]Bal Sheet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3"/>
      </tp>
      <tp>
        <v>29361</v>
        <stp/>
        <stp>##V3_BDHV12</stp>
        <stp>XOM US Equity</stp>
        <stp>BS_AMT_OF_TSY_STOCK</stp>
        <stp>FQ4 2003</stp>
        <stp>FQ4 2003</stp>
        <stp>[FA1_ivyerigx.xlsx]Bal Sheet - Standardized!R43C24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3" s="3"/>
      </tp>
      <tp t="s">
        <v>—</v>
        <stp/>
        <stp>##V3_BDHV12</stp>
        <stp>XOM US Equity</stp>
        <stp>BS_ACCTS_REC_EXCL_NOTES_REC</stp>
        <stp>FQ1 2006</stp>
        <stp>FQ1 2006</stp>
        <stp>[FA1_ivyerigx.xlsx]Bal Sheet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3"/>
      </tp>
      <tp>
        <v>57</v>
        <stp/>
        <stp>##V3_BDHV12</stp>
        <stp>XOM US Equity</stp>
        <stp>FREE_CASH_FLOW_EQUITY</stp>
        <stp>FQ1 1999</stp>
        <stp>FQ1 1999</stp>
        <stp>[FA1_ivyerigx.xlsx]Cash Flow - Standardized!R48C5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8" s="4"/>
      </tp>
      <tp>
        <v>1081</v>
        <stp/>
        <stp>##V3_BDHV12</stp>
        <stp>XOM US Equity</stp>
        <stp>FREE_CASH_FLOW_EQUITY</stp>
        <stp>FQ3 1999</stp>
        <stp>FQ3 1999</stp>
        <stp>[FA1_ivyerigx.xlsx]Cash Flow - Standardized!R48C7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8" s="4"/>
      </tp>
      <tp>
        <v>1177</v>
        <stp/>
        <stp>##V3_BDHV12</stp>
        <stp>XOM US Equity</stp>
        <stp>FREE_CASH_FLOW_EQUITY</stp>
        <stp>FQ2 1999</stp>
        <stp>FQ2 1999</stp>
        <stp>[FA1_ivyerigx.xlsx]Cash Flow - Standardized!R48C6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8" s="4"/>
      </tp>
      <tp>
        <v>2746</v>
        <stp/>
        <stp>##V3_BDHV12</stp>
        <stp>XOM US Equity</stp>
        <stp>FREE_CASH_FLOW_EQUITY</stp>
        <stp>FQ4 1998</stp>
        <stp>FQ4 1998</stp>
        <stp>[FA1_ivyerigx.xlsx]Cash Flow - Standardized!R48C4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8" s="4"/>
      </tp>
      <tp>
        <v>1378.5</v>
        <stp/>
        <stp>##V3_BDHV12</stp>
        <stp>XOM US Equity</stp>
        <stp>FREE_CASH_FLOW_EQUITY</stp>
        <stp>FQ3 1998</stp>
        <stp>FQ3 1998</stp>
        <stp>[FA1_ivyerigx.xlsx]Cash Flow - Standardized!R48C3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8" s="4"/>
      </tp>
      <tp>
        <v>-13.203099999999999</v>
        <stp/>
        <stp>##V3_BDHV12</stp>
        <stp>XOM US Equity</stp>
        <stp>CASH_CONVERSION_CYCLE</stp>
        <stp>FQ3 1999</stp>
        <stp>FQ3 1999</stp>
        <stp>[FA1_ivyerigx.xlsx]Bal Sheet - Standardized!R64C7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64" s="3"/>
      </tp>
      <tp>
        <v>3788</v>
        <stp/>
        <stp>##V3_BDHV12</stp>
        <stp>XOM US Equity</stp>
        <stp>FREE_CASH_FLOW_EQUITY</stp>
        <stp>FQ4 1999</stp>
        <stp>FQ4 1999</stp>
        <stp>[FA1_ivyerigx.xlsx]Cash Flow - Standardized!R48C8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8" s="4"/>
      </tp>
      <tp>
        <v>0</v>
        <stp/>
        <stp>##V3_BDHV12</stp>
        <stp>XOM US Equity</stp>
        <stp>OTHER_ADJUSTMENTS</stp>
        <stp>FQ2 2000</stp>
        <stp>FQ2 2000</stp>
        <stp>[FA1_ivyerigx.xlsx]Income - Adjusted!R26C10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2"/>
      </tp>
      <tp>
        <v>0</v>
        <stp/>
        <stp>##V3_BDHV12</stp>
        <stp>XOM US Equity</stp>
        <stp>OTHER_ADJUSTMENTS</stp>
        <stp>FQ2 2003</stp>
        <stp>FQ2 2003</stp>
        <stp>[FA1_ivyerigx.xlsx]Income - Adjusted!R26C22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2"/>
      </tp>
      <tp t="s">
        <v>—</v>
        <stp/>
        <stp>##V3_BDHV12</stp>
        <stp>XOM US Equity</stp>
        <stp>OTHER_ADJUSTMENTS</stp>
        <stp>FQ3 2001</stp>
        <stp>FQ3 2001</stp>
        <stp>[FA1_ivyerigx.xlsx]Income - Adjusted!R26C15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2"/>
      </tp>
      <tp>
        <v>936</v>
        <stp/>
        <stp>##V3_BDHV12</stp>
        <stp>XOM US Equity</stp>
        <stp>PRETAX_INC</stp>
        <stp>FQ1 1999</stp>
        <stp>FQ1 1999</stp>
        <stp>[FA1_ivyerigx.xlsx]Income - Adjusted!R16C5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2"/>
      </tp>
      <tp>
        <v>2259</v>
        <stp/>
        <stp>##V3_BDHV12</stp>
        <stp>XOM US Equity</stp>
        <stp>PRETAX_INC</stp>
        <stp>FQ3 1999</stp>
        <stp>FQ3 1999</stp>
        <stp>[FA1_ivyerigx.xlsx]Income - Adjusted!R16C7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2"/>
      </tp>
      <tp>
        <v>1677</v>
        <stp/>
        <stp>##V3_BDHV12</stp>
        <stp>XOM US Equity</stp>
        <stp>PRETAX_INC</stp>
        <stp>FQ2 1999</stp>
        <stp>FQ2 1999</stp>
        <stp>[FA1_ivyerigx.xlsx]Income - Adjusted!R16C6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2"/>
      </tp>
      <tp t="s">
        <v>—</v>
        <stp/>
        <stp>##V3_BDHV12</stp>
        <stp>XOM US Equity</stp>
        <stp>BS_OPTIONS_GRANTED</stp>
        <stp>FQ3 1999</stp>
        <stp>FQ3 1999</stp>
        <stp>[FA1_ivyerigx.xlsx]Bal Sheet - Standardized!R58C7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8" s="3"/>
      </tp>
      <tp t="s">
        <v>—</v>
        <stp/>
        <stp>##V3_BDHV12</stp>
        <stp>XOM US Equity</stp>
        <stp>BS_OPTIONS_GRANTED</stp>
        <stp>FQ2 1999</stp>
        <stp>FQ2 1999</stp>
        <stp>[FA1_ivyerigx.xlsx]Bal Sheet - Standardized!R58C6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8" s="3"/>
      </tp>
      <tp t="s">
        <v>—</v>
        <stp/>
        <stp>##V3_BDHV12</stp>
        <stp>XOM US Equity</stp>
        <stp>BS_OPTIONS_GRANTED</stp>
        <stp>FQ1 1999</stp>
        <stp>FQ1 1999</stp>
        <stp>[FA1_ivyerigx.xlsx]Bal Sheet - Standardized!R58C5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8" s="3"/>
      </tp>
      <tp t="s">
        <v>—</v>
        <stp/>
        <stp>##V3_BDHV12</stp>
        <stp>XOM US Equity</stp>
        <stp>CF_CHANGE_IN_INVENTORIES</stp>
        <stp>FQ1 2003</stp>
        <stp>FQ1 2003</stp>
        <stp>[FA1_ivyerigx.xlsx]Cash Flow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4"/>
      </tp>
      <tp t="s">
        <v>—</v>
        <stp/>
        <stp>##V3_BDHV12</stp>
        <stp>XOM US Equity</stp>
        <stp>CF_CHANGE_IN_INVENTORIES</stp>
        <stp>FQ2 2000</stp>
        <stp>FQ2 2000</stp>
        <stp>[FA1_ivyerigx.xlsx]Cash Flow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4"/>
      </tp>
      <tp>
        <v>-219</v>
        <stp/>
        <stp>##V3_BDHV12</stp>
        <stp>XOM US Equity</stp>
        <stp>NON_CASH_ITEMS_DETAILED</stp>
        <stp>FQ4 2004</stp>
        <stp>FQ4 2004</stp>
        <stp>[FA1_ivyerigx.xlsx]Cash Flow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4"/>
      </tp>
      <tp t="s">
        <v>—</v>
        <stp/>
        <stp>##V3_BDHV12</stp>
        <stp>XOM US Equity</stp>
        <stp>CF_CHANGE_IN_INVENTORIES</stp>
        <stp>FQ1 2004</stp>
        <stp>FQ1 2004</stp>
        <stp>[FA1_ivyerigx.xlsx]Cash Flow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4"/>
      </tp>
      <tp t="s">
        <v>—</v>
        <stp/>
        <stp>##V3_BDHV12</stp>
        <stp>XOM US Equity</stp>
        <stp>CF_CHANGE_IN_INVENTORIES</stp>
        <stp>FQ2 2001</stp>
        <stp>FQ2 2001</stp>
        <stp>[FA1_ivyerigx.xlsx]Cash Flow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4"/>
      </tp>
      <tp>
        <v>-994</v>
        <stp/>
        <stp>##V3_BDHV12</stp>
        <stp>XOM US Equity</stp>
        <stp>NON_CASH_ITEMS_DETAILED</stp>
        <stp>FQ1 2005</stp>
        <stp>FQ1 2005</stp>
        <stp>[FA1_ivyerigx.xlsx]Cash Flow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4"/>
      </tp>
      <tp>
        <v>-48</v>
        <stp/>
        <stp>##V3_BDHV12</stp>
        <stp>XOM US Equity</stp>
        <stp>NON_CASH_ITEMS_DETAILED</stp>
        <stp>FQ1 2004</stp>
        <stp>FQ1 2004</stp>
        <stp>[FA1_ivyerigx.xlsx]Cash Flow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4"/>
      </tp>
      <tp>
        <v>210</v>
        <stp/>
        <stp>##V3_BDHV12</stp>
        <stp>XOM US Equity</stp>
        <stp>NON_CASH_ITEMS_DETAILED</stp>
        <stp>FQ3 2004</stp>
        <stp>FQ3 2004</stp>
        <stp>[FA1_ivyerigx.xlsx]Cash Flow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4"/>
      </tp>
      <tp>
        <v>-328</v>
        <stp/>
        <stp>##V3_BDHV12</stp>
        <stp>XOM US Equity</stp>
        <stp>NON_CASH_ITEMS_DETAILED</stp>
        <stp>FQ4 2002</stp>
        <stp>FQ4 2002</stp>
        <stp>[FA1_ivyerigx.xlsx]Cash Flow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4"/>
      </tp>
      <tp>
        <v>-138</v>
        <stp/>
        <stp>##V3_BDHV12</stp>
        <stp>XOM US Equity</stp>
        <stp>NON_CASH_ITEMS_DETAILED</stp>
        <stp>FQ2 2004</stp>
        <stp>FQ2 2004</stp>
        <stp>[FA1_ivyerigx.xlsx]Cash Flow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4"/>
      </tp>
      <tp t="s">
        <v>—</v>
        <stp/>
        <stp>##V3_BDHV12</stp>
        <stp>XOM US Equity</stp>
        <stp>CF_CHANGE_IN_INVENTORIES</stp>
        <stp>FQ2 2002</stp>
        <stp>FQ2 2002</stp>
        <stp>[FA1_ivyerigx.xlsx]Cash Flow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4"/>
      </tp>
      <tp>
        <v>2377</v>
        <stp/>
        <stp>##V3_BDHV12</stp>
        <stp>XOM US Equity</stp>
        <stp>NON_CASH_ITEMS_DETAILED</stp>
        <stp>FQ4 2003</stp>
        <stp>FQ4 2003</stp>
        <stp>[FA1_ivyerigx.xlsx]Cash Flow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4"/>
      </tp>
      <tp>
        <v>468</v>
        <stp/>
        <stp>##V3_BDHV12</stp>
        <stp>XOM US Equity</stp>
        <stp>NON_CASH_ITEMS_DETAILED</stp>
        <stp>FQ2 2003</stp>
        <stp>FQ2 2003</stp>
        <stp>[FA1_ivyerigx.xlsx]Cash Flow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4"/>
      </tp>
      <tp>
        <v>-2186</v>
        <stp/>
        <stp>##V3_BDHV12</stp>
        <stp>XOM US Equity</stp>
        <stp>NON_CASH_ITEMS_DETAILED</stp>
        <stp>FQ3 2003</stp>
        <stp>FQ3 2003</stp>
        <stp>[FA1_ivyerigx.xlsx]Cash Flow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4"/>
      </tp>
      <tp>
        <v>-2504</v>
        <stp/>
        <stp>##V3_BDHV12</stp>
        <stp>XOM US Equity</stp>
        <stp>NON_CASH_ITEMS_DETAILED</stp>
        <stp>FQ1 2003</stp>
        <stp>FQ1 2003</stp>
        <stp>[FA1_ivyerigx.xlsx]Cash Flow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4"/>
      </tp>
      <tp t="s">
        <v>—</v>
        <stp/>
        <stp>##V3_BDHV12</stp>
        <stp>XOM US Equity</stp>
        <stp>CF_CHANGE_IN_INVENTORIES</stp>
        <stp>FQ1 2005</stp>
        <stp>FQ1 2005</stp>
        <stp>[FA1_ivyerigx.xlsx]Cash Flow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4"/>
      </tp>
      <tp>
        <v>8033</v>
        <stp/>
        <stp>##V3_BDHV12</stp>
        <stp>XOM US Equity</stp>
        <stp>OTHER_CURRENT_LIABS_SUB_DETAILED</stp>
        <stp>FQ4 2006</stp>
        <stp>FQ4 2006</stp>
        <stp>[FA1_ivyerigx.xlsx]Bal Sheet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3"/>
      </tp>
      <tp>
        <v>5311</v>
        <stp/>
        <stp>##V3_BDHV12</stp>
        <stp>XOM US Equity</stp>
        <stp>IS_INC_TAX_EXP</stp>
        <stp>FQ4 2006</stp>
        <stp>FQ4 2006</stp>
        <stp>[FA1_ivyerigx.xlsx]Income - Adjusted!R19C36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9" s="2"/>
      </tp>
      <tp>
        <v>6784</v>
        <stp/>
        <stp>##V3_BDHV12</stp>
        <stp>XOM US Equity</stp>
        <stp>IS_INC_TAX_EXP</stp>
        <stp>FQ1 2007</stp>
        <stp>FQ1 2007</stp>
        <stp>[FA1_ivyerigx.xlsx]Income - Adjusted!R19C37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19" s="2"/>
      </tp>
      <tp>
        <v>2312</v>
        <stp/>
        <stp>##V3_BDHV12</stp>
        <stp>XOM US Equity</stp>
        <stp>IS_INC_TAX_EXP</stp>
        <stp>FQ3 2003</stp>
        <stp>FQ3 2003</stp>
        <stp>[FA1_ivyerigx.xlsx]Income - Adjusted!R19C23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9" s="2"/>
      </tp>
      <tp>
        <v>2706</v>
        <stp/>
        <stp>##V3_BDHV12</stp>
        <stp>XOM US Equity</stp>
        <stp>IS_INC_TAX_EXP</stp>
        <stp>FQ2 2000</stp>
        <stp>FQ2 2000</stp>
        <stp>[FA1_ivyerigx.xlsx]Income - Adjusted!R19C10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9" s="2"/>
      </tp>
      <tp t="s">
        <v>—</v>
        <stp/>
        <stp>##V3_BDHV12</stp>
        <stp>XOM US Equity</stp>
        <stp>IS_ABNORMAL_ITEM</stp>
        <stp>FQ3 2006</stp>
        <stp>FQ3 2006</stp>
        <stp>[FA1_ivyerigx.xlsx]Income - Adjusted!R17C35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7" s="2"/>
      </tp>
      <tp t="s">
        <v>—</v>
        <stp/>
        <stp>##V3_BDHV12</stp>
        <stp>XOM US Equity</stp>
        <stp>EQY_FLOAT</stp>
        <stp>FQ3 1998</stp>
        <stp>FQ3 1998</stp>
        <stp>[FA1_ivyerigx.xlsx]Stock Value!R14C3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4" s="6"/>
      </tp>
      <tp>
        <v>21748</v>
        <stp/>
        <stp>##V3_BDHV12</stp>
        <stp>XOM US Equity</stp>
        <stp>OTHER_CURRENT_LIABS_SUB_DETAILED</stp>
        <stp>FQ4 2005</stp>
        <stp>FQ4 2005</stp>
        <stp>[FA1_ivyerigx.xlsx]Bal Sheet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3"/>
      </tp>
      <tp>
        <v>10.622199999999999</v>
        <stp/>
        <stp>##V3_BDHV12</stp>
        <stp>XOM US Equity</stp>
        <stp>EBITDA_MARGIN</stp>
        <stp>FQ1 1999</stp>
        <stp>FQ1 1999</stp>
        <stp>[FA1_ivyerigx.xlsx]Income - Adjusted!R46C5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6" s="2"/>
      </tp>
      <tp>
        <v>10.426500000000001</v>
        <stp/>
        <stp>##V3_BDHV12</stp>
        <stp>XOM US Equity</stp>
        <stp>EBITDA_MARGIN</stp>
        <stp>FQ2 1999</stp>
        <stp>FQ2 1999</stp>
        <stp>[FA1_ivyerigx.xlsx]Income - Adjusted!R46C6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6" s="2"/>
      </tp>
      <tp>
        <v>10.6006</v>
        <stp/>
        <stp>##V3_BDHV12</stp>
        <stp>XOM US Equity</stp>
        <stp>EBITDA_MARGIN</stp>
        <stp>FQ3 1999</stp>
        <stp>FQ3 1999</stp>
        <stp>[FA1_ivyerigx.xlsx]Income - Adjusted!R46C7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6" s="2"/>
      </tp>
      <tp>
        <v>11.4336</v>
        <stp/>
        <stp>##V3_BDHV12</stp>
        <stp>XOM US Equity</stp>
        <stp>EBITDA_MARGIN</stp>
        <stp>FQ4 1999</stp>
        <stp>FQ4 1999</stp>
        <stp>[FA1_ivyerigx.xlsx]Income - Adjusted!R46C8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6" s="2"/>
      </tp>
      <tp t="s">
        <v>—</v>
        <stp/>
        <stp>##V3_BDHV12</stp>
        <stp>XOM US Equity</stp>
        <stp>EQY_FLOAT</stp>
        <stp>FQ1 2000</stp>
        <stp>FQ1 2000</stp>
        <stp>[FA1_ivyerigx.xlsx]Stock Value!R14C9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4" s="6"/>
      </tp>
      <tp>
        <v>18116</v>
        <stp/>
        <stp>##V3_BDHV12</stp>
        <stp>XOM US Equity</stp>
        <stp>PRETAX_INC</stp>
        <stp>FQ2 2007</stp>
        <stp>FQ2 2007</stp>
        <stp>[FA1_ivyerigx.xlsx]Income - Adjusted!R16C38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6" s="2"/>
      </tp>
      <tp>
        <v>-460</v>
        <stp/>
        <stp>##V3_BDHV12</stp>
        <stp>XOM US Equity</stp>
        <stp>IS_ABNORMAL_ITEM</stp>
        <stp>FQ1 2005</stp>
        <stp>FQ1 2005</stp>
        <stp>[FA1_ivyerigx.xlsx]Income - Adjusted!R17C29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7" s="2"/>
      </tp>
      <tp t="s">
        <v>—</v>
        <stp/>
        <stp>##V3_BDHV12</stp>
        <stp>XOM US Equity</stp>
        <stp>IS_ABNORMAL_ITEM</stp>
        <stp>FQ2 2007</stp>
        <stp>FQ2 2007</stp>
        <stp>[FA1_ivyerigx.xlsx]Income - Adjusted!R17C38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7" s="2"/>
      </tp>
      <tp>
        <v>4185</v>
        <stp/>
        <stp>##V3_BDHV12</stp>
        <stp>XOM US Equity</stp>
        <stp>CF_NET_INC</stp>
        <stp>FQ4 1999</stp>
        <stp>FQ4 1999</stp>
        <stp>[FA1_ivyerigx.xlsx]Cash Flow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4"/>
      </tp>
      <tp>
        <v>1020</v>
        <stp/>
        <stp>##V3_BDHV12</stp>
        <stp>XOM US Equity</stp>
        <stp>CF_NET_INC</stp>
        <stp>FQ1 1999</stp>
        <stp>FQ1 1999</stp>
        <stp>[FA1_ivyerigx.xlsx]Cash Flow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4"/>
      </tp>
      <tp>
        <v>1205</v>
        <stp/>
        <stp>##V3_BDHV12</stp>
        <stp>XOM US Equity</stp>
        <stp>CF_NET_INC</stp>
        <stp>FQ2 1999</stp>
        <stp>FQ2 1999</stp>
        <stp>[FA1_ivyerigx.xlsx]Cash Flow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4"/>
      </tp>
      <tp>
        <v>1500</v>
        <stp/>
        <stp>##V3_BDHV12</stp>
        <stp>XOM US Equity</stp>
        <stp>CF_NET_INC</stp>
        <stp>FQ3 1999</stp>
        <stp>FQ3 1999</stp>
        <stp>[FA1_ivyerigx.xlsx]Cash Flow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4"/>
      </tp>
      <tp t="s">
        <v>—</v>
        <stp/>
        <stp>##V3_BDHV12</stp>
        <stp>XOM US Equity</stp>
        <stp>BS_ACCTS_REC_EXCL_NOTES_REC</stp>
        <stp>FQ2 2002</stp>
        <stp>FQ2 2002</stp>
        <stp>[FA1_ivyerigx.xlsx]Bal Sheet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3"/>
      </tp>
      <tp t="s">
        <v>—</v>
        <stp/>
        <stp>##V3_BDHV12</stp>
        <stp>XOM US Equity</stp>
        <stp>BS_ACCTS_REC_EXCL_NOTES_REC</stp>
        <stp>FQ1 2005</stp>
        <stp>FQ1 2005</stp>
        <stp>[FA1_ivyerigx.xlsx]Bal Sheet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3"/>
      </tp>
      <tp t="s">
        <v>—</v>
        <stp/>
        <stp>##V3_BDHV12</stp>
        <stp>XOM US Equity</stp>
        <stp>BS_ACCTS_REC_EXCL_NOTES_REC</stp>
        <stp>FQ1 2003</stp>
        <stp>FQ1 2003</stp>
        <stp>[FA1_ivyerigx.xlsx]Bal Sheet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3"/>
      </tp>
      <tp>
        <v>83387</v>
        <stp/>
        <stp>##V3_BDHV12</stp>
        <stp>XOM US Equity</stp>
        <stp>BS_AMT_OF_TSY_STOCK</stp>
        <stp>FQ4 2006</stp>
        <stp>FQ4 2006</stp>
        <stp>[FA1_ivyerigx.xlsx]Bal Sheet - Standardized!R43C36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3" s="3"/>
      </tp>
      <tp t="s">
        <v>—</v>
        <stp/>
        <stp>##V3_BDHV12</stp>
        <stp>XOM US Equity</stp>
        <stp>BS_ACCTS_REC_EXCL_NOTES_REC</stp>
        <stp>FQ2 2000</stp>
        <stp>FQ2 2000</stp>
        <stp>[FA1_ivyerigx.xlsx]Bal Sheet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3"/>
      </tp>
      <tp>
        <v>24189</v>
        <stp/>
        <stp>##V3_BDHV12</stp>
        <stp>XOM US Equity</stp>
        <stp>BS_ACCTS_REC_EXCL_NOTES_REC</stp>
        <stp>FQ1 2004</stp>
        <stp>FQ1 2004</stp>
        <stp>[FA1_ivyerigx.xlsx]Bal Sheet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3"/>
      </tp>
      <tp t="s">
        <v>—</v>
        <stp/>
        <stp>##V3_BDHV12</stp>
        <stp>XOM US Equity</stp>
        <stp>BS_ACCTS_REC_EXCL_NOTES_REC</stp>
        <stp>FQ2 2001</stp>
        <stp>FQ2 2001</stp>
        <stp>[FA1_ivyerigx.xlsx]Bal Sheet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3"/>
      </tp>
      <tp>
        <v>55347</v>
        <stp/>
        <stp>##V3_BDHV12</stp>
        <stp>XOM US Equity</stp>
        <stp>BS_AMT_OF_TSY_STOCK</stp>
        <stp>FQ4 2005</stp>
        <stp>FQ4 2005</stp>
        <stp>[FA1_ivyerigx.xlsx]Bal Sheet - Standardized!R43C32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3" s="3"/>
      </tp>
      <tp>
        <v>-12.601599999999999</v>
        <stp/>
        <stp>##V3_BDHV12</stp>
        <stp>XOM US Equity</stp>
        <stp>CASH_CONVERSION_CYCLE</stp>
        <stp>FQ2 1999</stp>
        <stp>FQ2 1999</stp>
        <stp>[FA1_ivyerigx.xlsx]Bal Sheet - Standardized!R64C6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64" s="3"/>
      </tp>
      <tp>
        <v>-16.773800000000001</v>
        <stp/>
        <stp>##V3_BDHV12</stp>
        <stp>XOM US Equity</stp>
        <stp>CASH_CONVERSION_CYCLE</stp>
        <stp>FQ3 1998</stp>
        <stp>FQ3 1998</stp>
        <stp>[FA1_ivyerigx.xlsx]Bal Sheet - Standardized!R64C3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64" s="3"/>
      </tp>
      <tp>
        <v>0</v>
        <stp/>
        <stp>##V3_BDHV12</stp>
        <stp>XOM US Equity</stp>
        <stp>OTHER_ADJUSTMENTS</stp>
        <stp>FQ3 2003</stp>
        <stp>FQ3 2003</stp>
        <stp>[FA1_ivyerigx.xlsx]Income - Adjusted!R26C23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2"/>
      </tp>
      <tp>
        <v>0</v>
        <stp/>
        <stp>##V3_BDHV12</stp>
        <stp>XOM US Equity</stp>
        <stp>OTHER_ADJUSTMENTS</stp>
        <stp>FQ3 2000</stp>
        <stp>FQ3 2000</stp>
        <stp>[FA1_ivyerigx.xlsx]Income - Adjusted!R26C11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2"/>
      </tp>
      <tp>
        <v>0</v>
        <stp/>
        <stp>##V3_BDHV12</stp>
        <stp>XOM US Equity</stp>
        <stp>OTHER_ADJUSTMENTS</stp>
        <stp>FQ1 2002</stp>
        <stp>FQ1 2002</stp>
        <stp>[FA1_ivyerigx.xlsx]Income - Adjusted!R26C17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2"/>
      </tp>
      <tp>
        <v>0</v>
        <stp/>
        <stp>##V3_BDHV12</stp>
        <stp>XOM US Equity</stp>
        <stp>OTHER_ADJUSTMENTS</stp>
        <stp>FQ2 2001</stp>
        <stp>FQ2 2001</stp>
        <stp>[FA1_ivyerigx.xlsx]Income - Adjusted!R26C14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2"/>
      </tp>
      <tp>
        <v>0</v>
        <stp/>
        <stp>##V3_BDHV12</stp>
        <stp>XOM US Equity</stp>
        <stp>OTHER_ADJUSTMENTS</stp>
        <stp>FQ4 2005</stp>
        <stp>FQ4 2005</stp>
        <stp>[FA1_ivyerigx.xlsx]Income - Adjusted!R26C32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2"/>
      </tp>
      <tp>
        <v>0</v>
        <stp/>
        <stp>##V3_BDHV12</stp>
        <stp>XOM US Equity</stp>
        <stp>OTHER_ADJUSTMENTS</stp>
        <stp>FQ4 2004</stp>
        <stp>FQ4 2004</stp>
        <stp>[FA1_ivyerigx.xlsx]Income - Adjusted!R26C28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2"/>
      </tp>
      <tp t="s">
        <v>—</v>
        <stp/>
        <stp>##V3_BDHV12</stp>
        <stp>XOM US Equity</stp>
        <stp>CF_CHANGE_IN_INVENTORIES</stp>
        <stp>FQ1 2001</stp>
        <stp>FQ1 2001</stp>
        <stp>[FA1_ivyerigx.xlsx]Cash Flow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4"/>
      </tp>
      <tp t="s">
        <v>—</v>
        <stp/>
        <stp>##V3_BDHV12</stp>
        <stp>XOM US Equity</stp>
        <stp>CF_CHANGE_IN_INVENTORIES</stp>
        <stp>FQ2 2003</stp>
        <stp>FQ2 2003</stp>
        <stp>[FA1_ivyerigx.xlsx]Cash Flow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4"/>
      </tp>
      <tp t="s">
        <v>—</v>
        <stp/>
        <stp>##V3_BDHV12</stp>
        <stp>XOM US Equity</stp>
        <stp>CF_CHANGE_IN_INVENTORIES</stp>
        <stp>FQ4 2007</stp>
        <stp>FQ4 2007</stp>
        <stp>[FA1_ivyerigx.xlsx]Cash Flow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4"/>
      </tp>
      <tp t="s">
        <v>—</v>
        <stp/>
        <stp>##V3_BDHV12</stp>
        <stp>XOM US Equity</stp>
        <stp>CF_CHANGE_IN_INVENTORIES</stp>
        <stp>FQ2 2004</stp>
        <stp>FQ2 2004</stp>
        <stp>[FA1_ivyerigx.xlsx]Cash Flow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4"/>
      </tp>
      <tp t="s">
        <v>—</v>
        <stp/>
        <stp>##V3_BDHV12</stp>
        <stp>XOM US Equity</stp>
        <stp>CF_CHANGE_IN_INVENTORIES</stp>
        <stp>FQ3 2006</stp>
        <stp>FQ3 2006</stp>
        <stp>[FA1_ivyerigx.xlsx]Cash Flow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4"/>
      </tp>
      <tp>
        <v>192</v>
        <stp/>
        <stp>##V3_BDHV12</stp>
        <stp>XOM US Equity</stp>
        <stp>NON_CASH_ITEMS_DETAILED</stp>
        <stp>FQ3 2002</stp>
        <stp>FQ3 2002</stp>
        <stp>[FA1_ivyerigx.xlsx]Cash Flow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4"/>
      </tp>
      <tp>
        <v>240</v>
        <stp/>
        <stp>##V3_BDHV12</stp>
        <stp>XOM US Equity</stp>
        <stp>NON_CASH_ITEMS_DETAILED</stp>
        <stp>FQ2 2002</stp>
        <stp>FQ2 2002</stp>
        <stp>[FA1_ivyerigx.xlsx]Cash Flow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4"/>
      </tp>
      <tp t="s">
        <v>—</v>
        <stp/>
        <stp>##V3_BDHV12</stp>
        <stp>XOM US Equity</stp>
        <stp>CF_CHANGE_IN_INVENTORIES</stp>
        <stp>FQ3 2005</stp>
        <stp>FQ3 2005</stp>
        <stp>[FA1_ivyerigx.xlsx]Cash Flow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4"/>
      </tp>
      <tp t="s">
        <v>—</v>
        <stp/>
        <stp>##V3_BDHV12</stp>
        <stp>XOM US Equity</stp>
        <stp>CF_CHANGE_IN_INVENTORIES</stp>
        <stp>FQ1 2002</stp>
        <stp>FQ1 2002</stp>
        <stp>[FA1_ivyerigx.xlsx]Cash Flow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4"/>
      </tp>
      <tp>
        <v>673</v>
        <stp/>
        <stp>##V3_BDHV12</stp>
        <stp>XOM US Equity</stp>
        <stp>NON_CASH_ITEMS_DETAILED</stp>
        <stp>FQ4 2000</stp>
        <stp>FQ4 2000</stp>
        <stp>[FA1_ivyerigx.xlsx]Cash Flow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4"/>
      </tp>
      <tp>
        <v>-358</v>
        <stp/>
        <stp>##V3_BDHV12</stp>
        <stp>XOM US Equity</stp>
        <stp>NON_CASH_ITEMS_DETAILED</stp>
        <stp>FQ1 2002</stp>
        <stp>FQ1 2002</stp>
        <stp>[FA1_ivyerigx.xlsx]Cash Flow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4"/>
      </tp>
      <tp>
        <v>-394</v>
        <stp/>
        <stp>##V3_BDHV12</stp>
        <stp>XOM US Equity</stp>
        <stp>NON_CASH_ITEMS_DETAILED</stp>
        <stp>FQ2 2001</stp>
        <stp>FQ2 2001</stp>
        <stp>[FA1_ivyerigx.xlsx]Cash Flow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4"/>
      </tp>
      <tp>
        <v>542</v>
        <stp/>
        <stp>##V3_BDHV12</stp>
        <stp>XOM US Equity</stp>
        <stp>NON_CASH_ITEMS_DETAILED</stp>
        <stp>FQ3 2001</stp>
        <stp>FQ3 2001</stp>
        <stp>[FA1_ivyerigx.xlsx]Cash Flow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4"/>
      </tp>
      <tp>
        <v>1378</v>
        <stp/>
        <stp>##V3_BDHV12</stp>
        <stp>XOM US Equity</stp>
        <stp>NON_CASH_ITEMS_DETAILED</stp>
        <stp>FQ4 2001</stp>
        <stp>FQ4 2001</stp>
        <stp>[FA1_ivyerigx.xlsx]Cash Flow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4"/>
      </tp>
      <tp>
        <v>75</v>
        <stp/>
        <stp>##V3_BDHV12</stp>
        <stp>XOM US Equity</stp>
        <stp>NON_CASH_ITEMS_DETAILED</stp>
        <stp>FQ1 2001</stp>
        <stp>FQ1 2001</stp>
        <stp>[FA1_ivyerigx.xlsx]Cash Flow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4"/>
      </tp>
      <tp>
        <v>-491</v>
        <stp/>
        <stp>##V3_BDHV12</stp>
        <stp>XOM US Equity</stp>
        <stp>NON_CASH_ITEMS_DETAILED</stp>
        <stp>FQ3 2000</stp>
        <stp>FQ3 2000</stp>
        <stp>[FA1_ivyerigx.xlsx]Cash Flow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4"/>
      </tp>
      <tp>
        <v>-899</v>
        <stp/>
        <stp>##V3_BDHV12</stp>
        <stp>XOM US Equity</stp>
        <stp>NON_CASH_ITEMS_DETAILED</stp>
        <stp>FQ2 2000</stp>
        <stp>FQ2 2000</stp>
        <stp>[FA1_ivyerigx.xlsx]Cash Flow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4"/>
      </tp>
      <tp t="s">
        <v>—</v>
        <stp/>
        <stp>##V3_BDHV12</stp>
        <stp>XOM US Equity</stp>
        <stp>CF_CHANGE_IN_INVENTORIES</stp>
        <stp>FQ3 2007</stp>
        <stp>FQ3 2007</stp>
        <stp>[FA1_ivyerigx.xlsx]Cash Flow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4"/>
      </tp>
      <tp t="s">
        <v>—</v>
        <stp/>
        <stp>##V3_BDHV12</stp>
        <stp>XOM US Equity</stp>
        <stp>IS_ABNORMAL_ITEM</stp>
        <stp>FQ1 2007</stp>
        <stp>FQ1 2007</stp>
        <stp>[FA1_ivyerigx.xlsx]Income - Adjusted!R17C37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7" s="2"/>
      </tp>
      <tp>
        <v>-184</v>
        <stp/>
        <stp>##V3_BDHV12</stp>
        <stp>XOM US Equity</stp>
        <stp>IS_ABNORMAL_ITEM</stp>
        <stp>FQ4 2000</stp>
        <stp>FQ4 2000</stp>
        <stp>[FA1_ivyerigx.xlsx]Income - Adjusted!R17C12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7" s="2"/>
      </tp>
      <tp>
        <v>7688</v>
        <stp/>
        <stp>##V3_BDHV12</stp>
        <stp>XOM US Equity</stp>
        <stp>IS_INC_TAX_EXP</stp>
        <stp>FQ3 2006</stp>
        <stp>FQ3 2006</stp>
        <stp>[FA1_ivyerigx.xlsx]Income - Adjusted!R19C35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9" s="2"/>
      </tp>
      <tp>
        <v>3854</v>
        <stp/>
        <stp>##V3_BDHV12</stp>
        <stp>XOM US Equity</stp>
        <stp>IS_INC_TAX_EXP</stp>
        <stp>FQ3 2004</stp>
        <stp>FQ3 2004</stp>
        <stp>[FA1_ivyerigx.xlsx]Income - Adjusted!R19C27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9" s="2"/>
      </tp>
      <tp>
        <v>550</v>
        <stp/>
        <stp>##V3_BDHV12</stp>
        <stp>XOM US Equity</stp>
        <stp>IS_ABNORMAL_ITEM</stp>
        <stp>FQ3 2004</stp>
        <stp>FQ3 2004</stp>
        <stp>[FA1_ivyerigx.xlsx]Income - Adjusted!R17C27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7" s="2"/>
      </tp>
      <tp>
        <v>-1620</v>
        <stp/>
        <stp>##V3_BDHV12</stp>
        <stp>XOM US Equity</stp>
        <stp>IS_ABNORMAL_ITEM</stp>
        <stp>FQ3 2005</stp>
        <stp>FQ3 2005</stp>
        <stp>[FA1_ivyerigx.xlsx]Income - Adjusted!R17C31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7" s="2"/>
      </tp>
      <tp>
        <v>-2230</v>
        <stp/>
        <stp>##V3_BDHV12</stp>
        <stp>XOM US Equity</stp>
        <stp>IS_ABNORMAL_ITEM</stp>
        <stp>FQ4 2003</stp>
        <stp>FQ4 2003</stp>
        <stp>[FA1_ivyerigx.xlsx]Income - Adjusted!R17C24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7" s="2"/>
      </tp>
      <tp>
        <v>12998</v>
        <stp/>
        <stp>##V3_BDHV12</stp>
        <stp>XOM US Equity</stp>
        <stp>PRETAX_INC</stp>
        <stp>FQ1 2005</stp>
        <stp>FQ1 2005</stp>
        <stp>[FA1_ivyerigx.xlsx]Income - Adjusted!R16C29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6" s="2"/>
      </tp>
      <tp>
        <v>13546</v>
        <stp/>
        <stp>##V3_BDHV12</stp>
        <stp>XOM US Equity</stp>
        <stp>PRETAX_INC</stp>
        <stp>FQ4 2004</stp>
        <stp>FQ4 2004</stp>
        <stp>[FA1_ivyerigx.xlsx]Income - Adjusted!R16C28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6" s="2"/>
      </tp>
      <tp>
        <v>15501</v>
        <stp/>
        <stp>##V3_BDHV12</stp>
        <stp>XOM US Equity</stp>
        <stp>GROSS_PROFIT</stp>
        <stp>FQ2 2002</stp>
        <stp>FQ2 2002</stp>
        <stp>[FA1_ivyerigx.xlsx]Income - Adjusted!R8C18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8" s="2"/>
      </tp>
      <tp>
        <v>15227</v>
        <stp/>
        <stp>##V3_BDHV12</stp>
        <stp>XOM US Equity</stp>
        <stp>GROSS_PROFIT</stp>
        <stp>FQ3 2002</stp>
        <stp>FQ3 2002</stp>
        <stp>[FA1_ivyerigx.xlsx]Income - Adjusted!R8C19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8" s="2"/>
      </tp>
      <tp>
        <v>26272</v>
        <stp/>
        <stp>##V3_BDHV12</stp>
        <stp>XOM US Equity</stp>
        <stp>GROSS_PROFIT</stp>
        <stp>FQ4 2004</stp>
        <stp>FQ4 2004</stp>
        <stp>[FA1_ivyerigx.xlsx]Income - Adjusted!R8C28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8" s="2"/>
      </tp>
      <tp>
        <v>22969</v>
        <stp/>
        <stp>##V3_BDHV12</stp>
        <stp>XOM US Equity</stp>
        <stp>GROSS_PROFIT</stp>
        <stp>FQ2 2008</stp>
        <stp>FQ2 2008</stp>
        <stp>[FA1_ivyerigx.xlsx]Income - Adjusted!R8C42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8" s="2"/>
      </tp>
      <tp>
        <v>21117</v>
        <stp/>
        <stp>##V3_BDHV12</stp>
        <stp>XOM US Equity</stp>
        <stp>GROSS_PROFIT</stp>
        <stp>FQ1 2008</stp>
        <stp>FQ1 2008</stp>
        <stp>[FA1_ivyerigx.xlsx]Income - Adjusted!R8C41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8" s="2"/>
      </tp>
      <tp t="s">
        <v>—</v>
        <stp/>
        <stp>##V3_BDHV12</stp>
        <stp>XOM US Equity</stp>
        <stp>BS_ACCTS_REC_EXCL_NOTES_REC</stp>
        <stp>FQ3 2007</stp>
        <stp>FQ3 2007</stp>
        <stp>[FA1_ivyerigx.xlsx]Bal Sheet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3"/>
      </tp>
      <tp t="s">
        <v>—</v>
        <stp/>
        <stp>##V3_BDHV12</stp>
        <stp>XOM US Equity</stp>
        <stp>BS_ACCTS_REC_EXCL_NOTES_REC</stp>
        <stp>FQ4 2007</stp>
        <stp>FQ4 2007</stp>
        <stp>[FA1_ivyerigx.xlsx]Bal Sheet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3"/>
      </tp>
      <tp t="s">
        <v>—</v>
        <stp/>
        <stp>##V3_BDHV12</stp>
        <stp>XOM US Equity</stp>
        <stp>BS_ACCTS_REC_EXCL_NOTES_REC</stp>
        <stp>FQ1 2001</stp>
        <stp>FQ1 2001</stp>
        <stp>[FA1_ivyerigx.xlsx]Bal Sheet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3"/>
      </tp>
      <tp t="s">
        <v>—</v>
        <stp/>
        <stp>##V3_BDHV12</stp>
        <stp>XOM US Equity</stp>
        <stp>BS_ACCTS_REC_EXCL_NOTES_REC</stp>
        <stp>FQ2 2003</stp>
        <stp>FQ2 2003</stp>
        <stp>[FA1_ivyerigx.xlsx]Bal Sheet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3"/>
      </tp>
      <tp>
        <v>23089</v>
        <stp/>
        <stp>##V3_BDHV12</stp>
        <stp>XOM US Equity</stp>
        <stp>BS_ACCTS_REC_EXCL_NOTES_REC</stp>
        <stp>FQ2 2004</stp>
        <stp>FQ2 2004</stp>
        <stp>[FA1_ivyerigx.xlsx]Bal Sheet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3"/>
      </tp>
      <tp t="s">
        <v>—</v>
        <stp/>
        <stp>##V3_BDHV12</stp>
        <stp>XOM US Equity</stp>
        <stp>BS_ACCTS_REC_EXCL_NOTES_REC</stp>
        <stp>FQ3 2006</stp>
        <stp>FQ3 2006</stp>
        <stp>[FA1_ivyerigx.xlsx]Bal Sheet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3"/>
      </tp>
      <tp t="s">
        <v>—</v>
        <stp/>
        <stp>##V3_BDHV12</stp>
        <stp>XOM US Equity</stp>
        <stp>BS_ACCTS_REC_EXCL_NOTES_REC</stp>
        <stp>FQ3 2005</stp>
        <stp>FQ3 2005</stp>
        <stp>[FA1_ivyerigx.xlsx]Bal Sheet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3"/>
      </tp>
      <tp t="s">
        <v>—</v>
        <stp/>
        <stp>##V3_BDHV12</stp>
        <stp>XOM US Equity</stp>
        <stp>BS_ACCTS_REC_EXCL_NOTES_REC</stp>
        <stp>FQ1 2002</stp>
        <stp>FQ1 2002</stp>
        <stp>[FA1_ivyerigx.xlsx]Bal Sheet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3"/>
      </tp>
      <tp>
        <v>-16.227799999999998</v>
        <stp/>
        <stp>##V3_BDHV12</stp>
        <stp>XOM US Equity</stp>
        <stp>CASH_CONVERSION_CYCLE</stp>
        <stp>FQ1 1999</stp>
        <stp>FQ1 1999</stp>
        <stp>[FA1_ivyerigx.xlsx]Bal Sheet - Standardized!R64C5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64" s="3"/>
      </tp>
      <tp>
        <v>-9.7544000000000004</v>
        <stp/>
        <stp>##V3_BDHV12</stp>
        <stp>XOM US Equity</stp>
        <stp>CASH_CONVERSION_CYCLE</stp>
        <stp>FQ1 2000</stp>
        <stp>FQ1 2000</stp>
        <stp>[FA1_ivyerigx.xlsx]Bal Sheet - Standardized!R64C9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64" s="3"/>
      </tp>
      <tp>
        <v>0</v>
        <stp/>
        <stp>##V3_BDHV12</stp>
        <stp>XOM US Equity</stp>
        <stp>OTHER_ADJUSTMENTS</stp>
        <stp>FQ4 2006</stp>
        <stp>FQ4 2006</stp>
        <stp>[FA1_ivyerigx.xlsx]Income - Adjusted!R26C36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2"/>
      </tp>
      <tp>
        <v>0</v>
        <stp/>
        <stp>##V3_BDHV12</stp>
        <stp>XOM US Equity</stp>
        <stp>OTHER_ADJUSTMENTS</stp>
        <stp>FQ1 2001</stp>
        <stp>FQ1 2001</stp>
        <stp>[FA1_ivyerigx.xlsx]Income - Adjusted!R26C13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2"/>
      </tp>
      <tp>
        <v>0</v>
        <stp/>
        <stp>##V3_BDHV12</stp>
        <stp>XOM US Equity</stp>
        <stp>OTHER_ADJUSTMENTS</stp>
        <stp>FQ2 2002</stp>
        <stp>FQ2 2002</stp>
        <stp>[FA1_ivyerigx.xlsx]Income - Adjusted!R26C18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2"/>
      </tp>
      <tp>
        <v>64605</v>
        <stp/>
        <stp>##V3_BDHV12</stp>
        <stp>XOM US Equity</stp>
        <stp>EQTY_BEF_MINORITY_INT_DETAILED</stp>
        <stp>FQ1 2000</stp>
        <stp>FQ1 2000</stp>
        <stp>[FA1_ivyerigx.xlsx]Bal Sheet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3"/>
      </tp>
      <tp t="s">
        <v>—</v>
        <stp/>
        <stp>##V3_BDHV12</stp>
        <stp>XOM US Equity</stp>
        <stp>EBITA</stp>
        <stp>FQ4 1998</stp>
        <stp>FQ4 1998</stp>
        <stp>[FA1_ivyerigx.xlsx]Income - Adjusted!R47C4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7" s="2"/>
      </tp>
      <tp>
        <v>1662</v>
        <stp/>
        <stp>##V3_BDHV12</stp>
        <stp>XOM US Equity</stp>
        <stp>EBITA</stp>
        <stp>FQ3 1998</stp>
        <stp>FQ3 1998</stp>
        <stp>[FA1_ivyerigx.xlsx]Income - Adjusted!R47C3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7" s="2"/>
      </tp>
      <tp t="s">
        <v>—</v>
        <stp/>
        <stp>##V3_BDHV12</stp>
        <stp>XOM US Equity</stp>
        <stp>CF_CHANGE_IN_INVENTORIES</stp>
        <stp>FQ3 2003</stp>
        <stp>FQ3 2003</stp>
        <stp>[FA1_ivyerigx.xlsx]Cash Flow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4"/>
      </tp>
      <tp t="s">
        <v>—</v>
        <stp/>
        <stp>##V3_BDHV12</stp>
        <stp>XOM US Equity</stp>
        <stp>CF_CHANGE_IN_INVENTORIES</stp>
        <stp>FQ3 2004</stp>
        <stp>FQ3 2004</stp>
        <stp>[FA1_ivyerigx.xlsx]Cash Flow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4"/>
      </tp>
      <tp t="s">
        <v>—</v>
        <stp/>
        <stp>##V3_BDHV12</stp>
        <stp>XOM US Equity</stp>
        <stp>CF_CHANGE_IN_INVENTORIES</stp>
        <stp>FQ2 2006</stp>
        <stp>FQ2 2006</stp>
        <stp>[FA1_ivyerigx.xlsx]Cash Flow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4"/>
      </tp>
      <tp t="s">
        <v>—</v>
        <stp/>
        <stp>##V3_BDHV12</stp>
        <stp>XOM US Equity</stp>
        <stp>CF_CHANGE_IN_INVENTORIES</stp>
        <stp>FQ2 2005</stp>
        <stp>FQ2 2005</stp>
        <stp>[FA1_ivyerigx.xlsx]Cash Flow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4"/>
      </tp>
      <tp>
        <v>10570</v>
        <stp/>
        <stp>##V3_BDHV12</stp>
        <stp>XOM US Equity</stp>
        <stp>BS_ST_BORROW</stp>
        <stp>FQ4 1999</stp>
        <stp>FQ4 1999</stp>
        <stp>[FA1_ivyerigx.xlsx]Bal Sheet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3"/>
      </tp>
      <tp>
        <v>4248</v>
        <stp/>
        <stp>##V3_BDHV12</stp>
        <stp>XOM US Equity</stp>
        <stp>BS_ST_BORROW</stp>
        <stp>FQ4 1998</stp>
        <stp>FQ4 1998</stp>
        <stp>[FA1_ivyerigx.xlsx]Bal Sheet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3"/>
      </tp>
      <tp>
        <v>2639</v>
        <stp/>
        <stp>##V3_BDHV12</stp>
        <stp>XOM US Equity</stp>
        <stp>BS_ST_BORROW</stp>
        <stp>FQ3 1998</stp>
        <stp>FQ3 1998</stp>
        <stp>[FA1_ivyerigx.xlsx]Bal Sheet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3"/>
      </tp>
      <tp>
        <v>3837</v>
        <stp/>
        <stp>##V3_BDHV12</stp>
        <stp>XOM US Equity</stp>
        <stp>BS_ST_BORROW</stp>
        <stp>FQ1 1999</stp>
        <stp>FQ1 1999</stp>
        <stp>[FA1_ivyerigx.xlsx]Bal Sheet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3"/>
      </tp>
      <tp>
        <v>4770</v>
        <stp/>
        <stp>##V3_BDHV12</stp>
        <stp>XOM US Equity</stp>
        <stp>BS_ST_BORROW</stp>
        <stp>FQ2 1999</stp>
        <stp>FQ2 1999</stp>
        <stp>[FA1_ivyerigx.xlsx]Bal Sheet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3"/>
      </tp>
      <tp>
        <v>4820</v>
        <stp/>
        <stp>##V3_BDHV12</stp>
        <stp>XOM US Equity</stp>
        <stp>BS_ST_BORROW</stp>
        <stp>FQ3 1999</stp>
        <stp>FQ3 1999</stp>
        <stp>[FA1_ivyerigx.xlsx]Bal Sheet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3"/>
      </tp>
      <tp t="s">
        <v>—</v>
        <stp/>
        <stp>##V3_BDHV12</stp>
        <stp>XOM US Equity</stp>
        <stp>CF_CHANGE_IN_INVENTORIES</stp>
        <stp>FQ2 2007</stp>
        <stp>FQ2 2007</stp>
        <stp>[FA1_ivyerigx.xlsx]Cash Flow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4"/>
      </tp>
      <tp>
        <v>4563</v>
        <stp/>
        <stp>##V3_BDHV12</stp>
        <stp>XOM US Equity</stp>
        <stp>BS_LT_BORROW</stp>
        <stp>FQ1 1999</stp>
        <stp>FQ1 1999</stp>
        <stp>[FA1_ivyerigx.xlsx]Bal Sheet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3"/>
      </tp>
      <tp>
        <v>4497</v>
        <stp/>
        <stp>##V3_BDHV12</stp>
        <stp>XOM US Equity</stp>
        <stp>BS_LT_BORROW</stp>
        <stp>FQ2 1999</stp>
        <stp>FQ2 1999</stp>
        <stp>[FA1_ivyerigx.xlsx]Bal Sheet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3"/>
      </tp>
      <tp>
        <v>4425</v>
        <stp/>
        <stp>##V3_BDHV12</stp>
        <stp>XOM US Equity</stp>
        <stp>BS_LT_BORROW</stp>
        <stp>FQ3 1999</stp>
        <stp>FQ3 1999</stp>
        <stp>[FA1_ivyerigx.xlsx]Bal Sheet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3"/>
      </tp>
      <tp t="s">
        <v>—</v>
        <stp/>
        <stp>##V3_BDHV12</stp>
        <stp>XOM US Equity</stp>
        <stp>IS_ABNORMAL_ITEM</stp>
        <stp>FQ2 2004</stp>
        <stp>FQ2 2004</stp>
        <stp>[FA1_ivyerigx.xlsx]Income - Adjusted!R17C26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7" s="2"/>
      </tp>
      <tp>
        <v>100</v>
        <stp/>
        <stp>##V3_BDHV12</stp>
        <stp>XOM US Equity</stp>
        <stp>IS_ABNORMAL_ITEM</stp>
        <stp>FQ4 2002</stp>
        <stp>FQ4 2002</stp>
        <stp>[FA1_ivyerigx.xlsx]Income - Adjusted!R17C20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7" s="2"/>
      </tp>
      <tp>
        <v>3507</v>
        <stp/>
        <stp>##V3_BDHV12</stp>
        <stp>XOM US Equity</stp>
        <stp>IS_INC_TAX_EXP</stp>
        <stp>FQ4 2000</stp>
        <stp>FQ4 2000</stp>
        <stp>[FA1_ivyerigx.xlsx]Income - Adjusted!R19C12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9" s="2"/>
      </tp>
      <tp>
        <v>1715</v>
        <stp/>
        <stp>##V3_BDHV12</stp>
        <stp>XOM US Equity</stp>
        <stp>IS_INC_TAX_EXP</stp>
        <stp>FQ4 2002</stp>
        <stp>FQ4 2002</stp>
        <stp>[FA1_ivyerigx.xlsx]Income - Adjusted!R19C20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9" s="2"/>
      </tp>
      <tp>
        <v>3260</v>
        <stp/>
        <stp>##V3_BDHV12</stp>
        <stp>XOM US Equity</stp>
        <stp>IS_INC_TAX_EXP</stp>
        <stp>FQ1 2001</stp>
        <stp>FQ1 2001</stp>
        <stp>[FA1_ivyerigx.xlsx]Income - Adjusted!R19C13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9" s="2"/>
      </tp>
      <tp>
        <v>3388</v>
        <stp/>
        <stp>##V3_BDHV12</stp>
        <stp>XOM US Equity</stp>
        <stp>IS_INC_TAX_EXP</stp>
        <stp>FQ1 2003</stp>
        <stp>FQ1 2003</stp>
        <stp>[FA1_ivyerigx.xlsx]Income - Adjusted!R19C21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9" s="2"/>
      </tp>
      <tp>
        <v>7844</v>
        <stp/>
        <stp>##V3_BDHV12</stp>
        <stp>XOM US Equity</stp>
        <stp>IS_INC_TAX_EXP</stp>
        <stp>FQ2 2006</stp>
        <stp>FQ2 2006</stp>
        <stp>[FA1_ivyerigx.xlsx]Income - Adjusted!R19C34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9" s="2"/>
      </tp>
      <tp>
        <v>3690</v>
        <stp/>
        <stp>##V3_BDHV12</stp>
        <stp>XOM US Equity</stp>
        <stp>IS_INC_TAX_EXP</stp>
        <stp>FQ2 2004</stp>
        <stp>FQ2 2004</stp>
        <stp>[FA1_ivyerigx.xlsx]Income - Adjusted!R19C26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9" s="2"/>
      </tp>
      <tp>
        <v>16673</v>
        <stp/>
        <stp>##V3_BDHV12</stp>
        <stp>XOM US Equity</stp>
        <stp>OTHER_CURRENT_LIABS_SUB_DETAILED</stp>
        <stp>FQ4 2000</stp>
        <stp>FQ4 2000</stp>
        <stp>[FA1_ivyerigx.xlsx]Bal Sheet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3"/>
      </tp>
      <tp t="s">
        <v>—</v>
        <stp/>
        <stp>##V3_BDHV12</stp>
        <stp>XOM US Equity</stp>
        <stp>IS_OTHER_OPER_INC</stp>
        <stp>FQ3 1998</stp>
        <stp>FQ3 1998</stp>
        <stp>[FA1_ivyerigx.xlsx]Income - Adjusted!R9C3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9" s="2"/>
      </tp>
      <tp>
        <v>0</v>
        <stp/>
        <stp>##V3_BDHV12</stp>
        <stp>XOM US Equity</stp>
        <stp>IS_OTHER_OPER_INC</stp>
        <stp>FQ4 1998</stp>
        <stp>FQ4 1998</stp>
        <stp>[FA1_ivyerigx.xlsx]Income - Adjusted!R9C4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9" s="2"/>
      </tp>
      <tp>
        <v>4530</v>
        <stp/>
        <stp>##V3_BDHV12</stp>
        <stp>XOM US Equity</stp>
        <stp>BS_LT_BORROW</stp>
        <stp>FQ4 1998</stp>
        <stp>FQ4 1998</stp>
        <stp>[FA1_ivyerigx.xlsx]Bal Sheet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3"/>
      </tp>
      <tp>
        <v>6912</v>
        <stp/>
        <stp>##V3_BDHV12</stp>
        <stp>XOM US Equity</stp>
        <stp>BS_LT_BORROW</stp>
        <stp>FQ3 1998</stp>
        <stp>FQ3 1998</stp>
        <stp>[FA1_ivyerigx.xlsx]Bal Sheet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3"/>
      </tp>
      <tp t="s">
        <v>—</v>
        <stp/>
        <stp>##V3_BDHV12</stp>
        <stp>XOM US Equity</stp>
        <stp>IS_ABNORMAL_ITEM</stp>
        <stp>FQ1 2006</stp>
        <stp>FQ1 2006</stp>
        <stp>[FA1_ivyerigx.xlsx]Income - Adjusted!R17C33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7" s="2"/>
      </tp>
      <tp>
        <v>200</v>
        <stp/>
        <stp>##V3_BDHV12</stp>
        <stp>XOM US Equity</stp>
        <stp>IS_ABNORMAL_ITEM</stp>
        <stp>FQ2 2005</stp>
        <stp>FQ2 2005</stp>
        <stp>[FA1_ivyerigx.xlsx]Income - Adjusted!R17C30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7" s="2"/>
      </tp>
      <tp>
        <v>3549</v>
        <stp/>
        <stp>##V3_BDHV12</stp>
        <stp>XOM US Equity</stp>
        <stp>OTHER_CURRENT_LIABS_SUB_DETAILED</stp>
        <stp>FQ4 2001</stp>
        <stp>FQ4 2001</stp>
        <stp>[FA1_ivyerigx.xlsx]Bal Sheet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3"/>
      </tp>
      <tp>
        <v>315</v>
        <stp/>
        <stp>##V3_BDHV12</stp>
        <stp>XOM US Equity</stp>
        <stp>IS_ABNORMAL_ITEM</stp>
        <stp>FQ4 2001</stp>
        <stp>FQ4 2001</stp>
        <stp>[FA1_ivyerigx.xlsx]Income - Adjusted!R17C16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7" s="2"/>
      </tp>
      <tp>
        <v>1982</v>
        <stp/>
        <stp>##V3_BDHV12</stp>
        <stp>XOM US Equity</stp>
        <stp>DISP_FXD_&amp;_INTANGIBLES_DETAILED</stp>
        <stp>FQ1 2000</stp>
        <stp>FQ1 2000</stp>
        <stp>[FA1_ivyerigx.xlsx]Cash Flow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4"/>
      </tp>
      <tp>
        <v>8402</v>
        <stp/>
        <stp>##V3_BDHV12</stp>
        <stp>XOM US Equity</stp>
        <stp>BS_LT_BORROW</stp>
        <stp>FQ4 1999</stp>
        <stp>FQ4 1999</stp>
        <stp>[FA1_ivyerigx.xlsx]Bal Sheet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3"/>
      </tp>
      <tp>
        <v>14599</v>
        <stp/>
        <stp>##V3_BDHV12</stp>
        <stp>XOM US Equity</stp>
        <stp>OTHER_CURRENT_LIABS_SUB_DETAILED</stp>
        <stp>FQ1 2008</stp>
        <stp>FQ1 2008</stp>
        <stp>[FA1_ivyerigx.xlsx]Bal Sheet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3"/>
      </tp>
      <tp>
        <v>122639</v>
        <stp/>
        <stp>##V3_BDHV12</stp>
        <stp>XOM US Equity</stp>
        <stp>BS_AMT_OF_TSY_STOCK</stp>
        <stp>FQ1 2008</stp>
        <stp>FQ1 2008</stp>
        <stp>[FA1_ivyerigx.xlsx]Bal Sheet - Standardized!R43C41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3" s="3"/>
      </tp>
      <tp t="s">
        <v>—</v>
        <stp/>
        <stp>##V3_BDHV12</stp>
        <stp>XOM US Equity</stp>
        <stp>BS_ACCTS_REC_EXCL_NOTES_REC</stp>
        <stp>FQ2 2007</stp>
        <stp>FQ2 2007</stp>
        <stp>[FA1_ivyerigx.xlsx]Bal Sheet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3"/>
      </tp>
      <tp t="s">
        <v>—</v>
        <stp/>
        <stp>##V3_BDHV12</stp>
        <stp>XOM US Equity</stp>
        <stp>BS_ACCTS_REC_EXCL_NOTES_REC</stp>
        <stp>FQ3 2003</stp>
        <stp>FQ3 2003</stp>
        <stp>[FA1_ivyerigx.xlsx]Bal Sheet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3"/>
      </tp>
      <tp>
        <v>14132</v>
        <stp/>
        <stp>##V3_BDHV12</stp>
        <stp>XOM US Equity</stp>
        <stp>BS_AMT_OF_TSY_STOCK</stp>
        <stp>FQ4 2000</stp>
        <stp>FQ4 2000</stp>
        <stp>[FA1_ivyerigx.xlsx]Bal Sheet - Standardized!R43C12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3" s="3"/>
      </tp>
      <tp>
        <v>24506</v>
        <stp/>
        <stp>##V3_BDHV12</stp>
        <stp>XOM US Equity</stp>
        <stp>BS_ACCTS_REC_EXCL_NOTES_REC</stp>
        <stp>FQ3 2004</stp>
        <stp>FQ3 2004</stp>
        <stp>[FA1_ivyerigx.xlsx]Bal Sheet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3"/>
      </tp>
      <tp t="s">
        <v>—</v>
        <stp/>
        <stp>##V3_BDHV12</stp>
        <stp>XOM US Equity</stp>
        <stp>BS_ACCTS_REC_EXCL_NOTES_REC</stp>
        <stp>FQ2 2006</stp>
        <stp>FQ2 2006</stp>
        <stp>[FA1_ivyerigx.xlsx]Bal Sheet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3"/>
      </tp>
      <tp t="s">
        <v>—</v>
        <stp/>
        <stp>##V3_BDHV12</stp>
        <stp>XOM US Equity</stp>
        <stp>BS_ACCTS_REC_EXCL_NOTES_REC</stp>
        <stp>FQ2 2005</stp>
        <stp>FQ2 2005</stp>
        <stp>[FA1_ivyerigx.xlsx]Bal Sheet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3"/>
      </tp>
      <tp>
        <v>19597</v>
        <stp/>
        <stp>##V3_BDHV12</stp>
        <stp>XOM US Equity</stp>
        <stp>BS_AMT_OF_TSY_STOCK</stp>
        <stp>FQ4 2001</stp>
        <stp>FQ4 2001</stp>
        <stp>[FA1_ivyerigx.xlsx]Bal Sheet - Standardized!R43C16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3" s="3"/>
      </tp>
      <tp>
        <v>0</v>
        <stp/>
        <stp>##V3_BDHV12</stp>
        <stp>XOM US Equity</stp>
        <stp>OTHER_ADJUSTMENTS</stp>
        <stp>FQ1 2003</stp>
        <stp>FQ1 2003</stp>
        <stp>[FA1_ivyerigx.xlsx]Income - Adjusted!R26C21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2"/>
      </tp>
      <tp>
        <v>0</v>
        <stp/>
        <stp>##V3_BDHV12</stp>
        <stp>XOM US Equity</stp>
        <stp>OTHER_ADJUSTMENTS</stp>
        <stp>FQ3 2002</stp>
        <stp>FQ3 2002</stp>
        <stp>[FA1_ivyerigx.xlsx]Income - Adjusted!R26C19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2"/>
      </tp>
      <tp>
        <v>2062</v>
        <stp/>
        <stp>##V3_BDHV12</stp>
        <stp>XOM US Equity</stp>
        <stp>IS_INC_TAX_EXP</stp>
        <stp>FQ4 1999</stp>
        <stp>FQ4 1999</stp>
        <stp>[FA1_ivyerigx.xlsx]Income - Adjusted!R19C8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9" s="2"/>
      </tp>
      <tp>
        <v>48.188600000000001</v>
        <stp/>
        <stp>##V3_BDHV12</stp>
        <stp>XOM US Equity</stp>
        <stp>PX_TO_FREE_CASH_FLOW</stp>
        <stp>FQ4 1998</stp>
        <stp>FQ4 1998</stp>
        <stp>[FA1_ivyerigx.xlsx]Cash Flow - Standardized!R50C4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0" s="4"/>
      </tp>
      <tp>
        <v>41.826599999999999</v>
        <stp/>
        <stp>##V3_BDHV12</stp>
        <stp>XOM US Equity</stp>
        <stp>PX_TO_FREE_CASH_FLOW</stp>
        <stp>FQ3 1998</stp>
        <stp>FQ3 1998</stp>
        <stp>[FA1_ivyerigx.xlsx]Cash Flow - Standardized!R50C3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0" s="4"/>
      </tp>
      <tp>
        <v>4947</v>
        <stp/>
        <stp>##V3_BDHV12</stp>
        <stp>XOM US Equity</stp>
        <stp>BS_INVENTORIES</stp>
        <stp>FQ1 1999</stp>
        <stp>FQ1 1999</stp>
        <stp>[FA1_ivyerigx.xlsx]Bal Sheet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3"/>
      </tp>
      <tp>
        <v>4895</v>
        <stp/>
        <stp>##V3_BDHV12</stp>
        <stp>XOM US Equity</stp>
        <stp>BS_INVENTORIES</stp>
        <stp>FQ3 1999</stp>
        <stp>FQ3 1999</stp>
        <stp>[FA1_ivyerigx.xlsx]Bal Sheet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3"/>
      </tp>
      <tp>
        <v>4787</v>
        <stp/>
        <stp>##V3_BDHV12</stp>
        <stp>XOM US Equity</stp>
        <stp>BS_INVENTORIES</stp>
        <stp>FQ2 1999</stp>
        <stp>FQ2 1999</stp>
        <stp>[FA1_ivyerigx.xlsx]Bal Sheet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3"/>
      </tp>
      <tp>
        <v>5605</v>
        <stp/>
        <stp>##V3_BDHV12</stp>
        <stp>XOM US Equity</stp>
        <stp>BS_INVENTORIES</stp>
        <stp>FQ4 1998</stp>
        <stp>FQ4 1998</stp>
        <stp>[FA1_ivyerigx.xlsx]Bal Sheet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3"/>
      </tp>
      <tp>
        <v>5462</v>
        <stp/>
        <stp>##V3_BDHV12</stp>
        <stp>XOM US Equity</stp>
        <stp>BS_INVENTORIES</stp>
        <stp>FQ3 1998</stp>
        <stp>FQ3 1998</stp>
        <stp>[FA1_ivyerigx.xlsx]Bal Sheet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3"/>
      </tp>
      <tp>
        <v>8492</v>
        <stp/>
        <stp>##V3_BDHV12</stp>
        <stp>XOM US Equity</stp>
        <stp>BS_INVENTORIES</stp>
        <stp>FQ4 1999</stp>
        <stp>FQ4 1999</stp>
        <stp>[FA1_ivyerigx.xlsx]Bal Sheet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3"/>
      </tp>
      <tp>
        <v>-2808</v>
        <stp/>
        <stp>##V3_BDHV12</stp>
        <stp>XOM US Equity</stp>
        <stp>INC_DEC_IN_OT_OP_AST_LIAB_DETAIL</stp>
        <stp>FQ4 2001</stp>
        <stp>FQ4 2001</stp>
        <stp>[FA1_ivyerigx.xlsx]Cash Flow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4"/>
      </tp>
      <tp>
        <v>31.9</v>
        <stp/>
        <stp>##V3_BDHV12</stp>
        <stp>XOM US Equity</stp>
        <stp>PX_LAST</stp>
        <stp>FQ3 2002</stp>
        <stp>FQ3 2002</stp>
        <stp>[FA1_ivyerigx.xlsx]Stock Value!R6C19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" s="6"/>
      </tp>
      <tp>
        <v>92.56</v>
        <stp/>
        <stp>##V3_BDHV12</stp>
        <stp>XOM US Equity</stp>
        <stp>PX_LAST</stp>
        <stp>FQ3 2007</stp>
        <stp>FQ3 2007</stp>
        <stp>[FA1_ivyerigx.xlsx]Stock Value!R6C39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" s="6"/>
      </tp>
      <tp>
        <v>59.6</v>
        <stp/>
        <stp>##V3_BDHV12</stp>
        <stp>XOM US Equity</stp>
        <stp>PX_LAST</stp>
        <stp>FQ1 2005</stp>
        <stp>FQ1 2005</stp>
        <stp>[FA1_ivyerigx.xlsx]Stock Value!R6C29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" s="6"/>
      </tp>
      <tp>
        <v>-1980</v>
        <stp/>
        <stp>##V3_BDHV12</stp>
        <stp>XOM US Equity</stp>
        <stp>INC_DEC_IN_OT_OP_AST_LIAB_DETAIL</stp>
        <stp>FQ4 2000</stp>
        <stp>FQ4 2000</stp>
        <stp>[FA1_ivyerigx.xlsx]Cash Flow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4"/>
      </tp>
      <tp>
        <v>122935</v>
        <stp/>
        <stp>##V3_BDHV12</stp>
        <stp>XOM US Equity</stp>
        <stp>BS_NET_FIX_ASSET</stp>
        <stp>FQ1 2008</stp>
        <stp>FQ1 2008</stp>
        <stp>[FA1_ivyerigx.xlsx]Bal Sheet - Standardized!R19C41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9" s="3"/>
      </tp>
      <tp>
        <v>89829</v>
        <stp/>
        <stp>##V3_BDHV12</stp>
        <stp>XOM US Equity</stp>
        <stp>BS_NET_FIX_ASSET</stp>
        <stp>FQ4 2000</stp>
        <stp>FQ4 2000</stp>
        <stp>[FA1_ivyerigx.xlsx]Bal Sheet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3"/>
      </tp>
      <tp t="s">
        <v>—</v>
        <stp/>
        <stp>##V3_BDHV12</stp>
        <stp>XOM US Equity</stp>
        <stp>BS_OPTIONS_OUTSTANDING</stp>
        <stp>FQ3 2003</stp>
        <stp>FQ3 2003</stp>
        <stp>[FA1_ivyerigx.xlsx]Bal Sheet - Standardized!R59C23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9" s="3"/>
      </tp>
      <tp t="s">
        <v>—</v>
        <stp/>
        <stp>##V3_BDHV12</stp>
        <stp>XOM US Equity</stp>
        <stp>BS_OPTIONS_OUTSTANDING</stp>
        <stp>FQ2 2003</stp>
        <stp>FQ2 2003</stp>
        <stp>[FA1_ivyerigx.xlsx]Bal Sheet - Standardized!R59C22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9" s="3"/>
      </tp>
      <tp t="s">
        <v>—</v>
        <stp/>
        <stp>##V3_BDHV12</stp>
        <stp>XOM US Equity</stp>
        <stp>BS_OPTIONS_OUTSTANDING</stp>
        <stp>FQ1 2003</stp>
        <stp>FQ1 2003</stp>
        <stp>[FA1_ivyerigx.xlsx]Bal Sheet - Standardized!R59C21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9" s="3"/>
      </tp>
      <tp>
        <v>223.75</v>
        <stp/>
        <stp>##V3_BDHV12</stp>
        <stp>XOM US Equity</stp>
        <stp>BS_OPTIONS_OUTSTANDING</stp>
        <stp>FQ4 2003</stp>
        <stp>FQ4 2003</stp>
        <stp>[FA1_ivyerigx.xlsx]Bal Sheet - Standardized!R59C24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9" s="3"/>
      </tp>
      <tp t="s">
        <v>—</v>
        <stp/>
        <stp>##V3_BDHV12</stp>
        <stp>XOM US Equity</stp>
        <stp>BS_OPTIONS_OUTSTANDING</stp>
        <stp>FQ1 2001</stp>
        <stp>FQ1 2001</stp>
        <stp>[FA1_ivyerigx.xlsx]Bal Sheet - Standardized!R59C13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9" s="3"/>
      </tp>
      <tp>
        <v>265.69499999999999</v>
        <stp/>
        <stp>##V3_BDHV12</stp>
        <stp>XOM US Equity</stp>
        <stp>BS_OPTIONS_OUTSTANDING</stp>
        <stp>FQ4 2001</stp>
        <stp>FQ4 2001</stp>
        <stp>[FA1_ivyerigx.xlsx]Bal Sheet - Standardized!R59C16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9" s="3"/>
      </tp>
      <tp>
        <v>7803</v>
        <stp/>
        <stp>##V3_BDHV12</stp>
        <stp>XOM US Equity</stp>
        <stp>INC_DEC_IN_OT_OP_AST_LIAB_DETAIL</stp>
        <stp>FQ1 2008</stp>
        <stp>FQ1 2008</stp>
        <stp>[FA1_ivyerigx.xlsx]Cash Flow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4"/>
      </tp>
      <tp>
        <v>80.289000000000001</v>
        <stp/>
        <stp>##V3_BDHV12</stp>
        <stp>XOM US Equity</stp>
        <stp>BS_OPTIONS_OUTSTANDING</stp>
        <stp>FQ4 2007</stp>
        <stp>FQ4 2007</stp>
        <stp>[FA1_ivyerigx.xlsx]Bal Sheet - Standardized!R59C40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9" s="3"/>
      </tp>
      <tp>
        <v>89602</v>
        <stp/>
        <stp>##V3_BDHV12</stp>
        <stp>XOM US Equity</stp>
        <stp>BS_NET_FIX_ASSET</stp>
        <stp>FQ4 2001</stp>
        <stp>FQ4 2001</stp>
        <stp>[FA1_ivyerigx.xlsx]Bal Sheet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3"/>
      </tp>
      <tp>
        <v>147.774</v>
        <stp/>
        <stp>##V3_BDHV12</stp>
        <stp>XOM US Equity</stp>
        <stp>BS_OPTIONS_OUTSTANDING</stp>
        <stp>FQ4 2005</stp>
        <stp>FQ4 2005</stp>
        <stp>[FA1_ivyerigx.xlsx]Bal Sheet - Standardized!R59C32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9" s="3"/>
      </tp>
    </main>
    <main first="bloomberg.rtd">
      <tp>
        <v>0.30499999999999999</v>
        <stp/>
        <stp>##V3_BDHV12</stp>
        <stp>XOM US Equity</stp>
        <stp>IS_DILUTED_EPS</stp>
        <stp>FQ3 1999</stp>
        <stp>FQ3 1999</stp>
        <stp>[FA1_ivyerigx.xlsx]Income - Adjusted!R39C7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9" s="2"/>
      </tp>
      <tp>
        <v>0.245</v>
        <stp/>
        <stp>##V3_BDHV12</stp>
        <stp>XOM US Equity</stp>
        <stp>IS_DILUTED_EPS</stp>
        <stp>FQ2 1999</stp>
        <stp>FQ2 1999</stp>
        <stp>[FA1_ivyerigx.xlsx]Income - Adjusted!R39C6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9" s="2"/>
      </tp>
      <tp>
        <v>0.21</v>
        <stp/>
        <stp>##V3_BDHV12</stp>
        <stp>XOM US Equity</stp>
        <stp>IS_DILUTED_EPS</stp>
        <stp>FQ1 1999</stp>
        <stp>FQ1 1999</stp>
        <stp>[FA1_ivyerigx.xlsx]Income - Adjusted!R39C5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9" s="2"/>
      </tp>
      <tp>
        <v>0.6</v>
        <stp/>
        <stp>##V3_BDHV12</stp>
        <stp>XOM US Equity</stp>
        <stp>IS_DILUTED_EPS</stp>
        <stp>FQ4 1999</stp>
        <stp>FQ4 1999</stp>
        <stp>[FA1_ivyerigx.xlsx]Income - Adjusted!R39C8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9" s="2"/>
      </tp>
      <tp>
        <v>50.161999999999999</v>
        <stp/>
        <stp>##V3_BDHV12</stp>
        <stp>XOM US Equity</stp>
        <stp>TCE_RATIO</stp>
        <stp>FQ3 2003</stp>
        <stp>FQ3 2003</stp>
        <stp>[FA1_ivyerigx.xlsx]Bal Sheet - Standardized!R62C23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2" s="3"/>
      </tp>
      <tp>
        <v>50.017899999999997</v>
        <stp/>
        <stp>##V3_BDHV12</stp>
        <stp>XOM US Equity</stp>
        <stp>TCE_RATIO</stp>
        <stp>FQ2 2003</stp>
        <stp>FQ2 2003</stp>
        <stp>[FA1_ivyerigx.xlsx]Bal Sheet - Standardized!R62C22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2" s="3"/>
      </tp>
      <tp>
        <v>48.976900000000001</v>
        <stp/>
        <stp>##V3_BDHV12</stp>
        <stp>XOM US Equity</stp>
        <stp>TCE_RATIO</stp>
        <stp>FQ1 2003</stp>
        <stp>FQ1 2003</stp>
        <stp>[FA1_ivyerigx.xlsx]Bal Sheet - Standardized!R62C21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2" s="3"/>
      </tp>
      <tp>
        <v>51.5929</v>
        <stp/>
        <stp>##V3_BDHV12</stp>
        <stp>XOM US Equity</stp>
        <stp>TCE_RATIO</stp>
        <stp>FQ4 2003</stp>
        <stp>FQ4 2003</stp>
        <stp>[FA1_ivyerigx.xlsx]Bal Sheet - Standardized!R62C24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2" s="3"/>
      </tp>
      <tp t="s">
        <v>—</v>
        <stp/>
        <stp>##V3_BDHV12</stp>
        <stp>XOM US Equity</stp>
        <stp>TCE_RATIO</stp>
        <stp>FQ1 2001</stp>
        <stp>FQ1 2001</stp>
        <stp>[FA1_ivyerigx.xlsx]Bal Sheet - Standardized!R62C13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2" s="3"/>
      </tp>
      <tp>
        <v>51.099400000000003</v>
        <stp/>
        <stp>##V3_BDHV12</stp>
        <stp>XOM US Equity</stp>
        <stp>TCE_RATIO</stp>
        <stp>FQ4 2001</stp>
        <stp>FQ4 2001</stp>
        <stp>[FA1_ivyerigx.xlsx]Bal Sheet - Standardized!R62C16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2" s="3"/>
      </tp>
      <tp>
        <v>50.297800000000002</v>
        <stp/>
        <stp>##V3_BDHV12</stp>
        <stp>XOM US Equity</stp>
        <stp>TCE_RATIO</stp>
        <stp>FQ4 2007</stp>
        <stp>FQ4 2007</stp>
        <stp>[FA1_ivyerigx.xlsx]Bal Sheet - Standardized!R62C40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2" s="3"/>
      </tp>
      <tp>
        <v>53.368899999999996</v>
        <stp/>
        <stp>##V3_BDHV12</stp>
        <stp>XOM US Equity</stp>
        <stp>TCE_RATIO</stp>
        <stp>FQ4 2005</stp>
        <stp>FQ4 2005</stp>
        <stp>[FA1_ivyerigx.xlsx]Bal Sheet - Standardized!R62C32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2" s="3"/>
      </tp>
      <tp>
        <v>-3735</v>
        <stp/>
        <stp>##V3_BDHV12</stp>
        <stp>XOM US Equity</stp>
        <stp>ACQUIS_FXD_&amp;_INTANG_DETAILED</stp>
        <stp>FQ2 2005</stp>
        <stp>FQ2 2005</stp>
        <stp>[FA1_ivyerigx.xlsx]Cash Flow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4"/>
      </tp>
      <tp>
        <v>-4250</v>
        <stp/>
        <stp>##V3_BDHV12</stp>
        <stp>XOM US Equity</stp>
        <stp>ACQUIS_FXD_&amp;_INTANG_DETAILED</stp>
        <stp>FQ2 2006</stp>
        <stp>FQ2 2006</stp>
        <stp>[FA1_ivyerigx.xlsx]Cash Flow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4"/>
      </tp>
      <tp>
        <v>-2837</v>
        <stp/>
        <stp>##V3_BDHV12</stp>
        <stp>XOM US Equity</stp>
        <stp>ACQUIS_FXD_&amp;_INTANG_DETAILED</stp>
        <stp>FQ3 2004</stp>
        <stp>FQ3 2004</stp>
        <stp>[FA1_ivyerigx.xlsx]Cash Flow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4"/>
      </tp>
      <tp>
        <v>-3073</v>
        <stp/>
        <stp>##V3_BDHV12</stp>
        <stp>XOM US Equity</stp>
        <stp>ACQUIS_FXD_&amp;_INTANG_DETAILED</stp>
        <stp>FQ3 2003</stp>
        <stp>FQ3 2003</stp>
        <stp>[FA1_ivyerigx.xlsx]Cash Flow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4"/>
      </tp>
      <tp>
        <v>1557</v>
        <stp/>
        <stp>##V3_BDHV12</stp>
        <stp>XOM US Equity</stp>
        <stp>IS_TOT_CASH_COM_DVD</stp>
        <stp>FQ2 2002</stp>
        <stp>FQ2 2002</stp>
        <stp>[FA1_ivyerigx.xlsx]Income - Adjusted!R54C18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4" s="2"/>
      </tp>
      <tp>
        <v>-3786</v>
        <stp/>
        <stp>##V3_BDHV12</stp>
        <stp>XOM US Equity</stp>
        <stp>ACQUIS_FXD_&amp;_INTANG_DETAILED</stp>
        <stp>FQ2 2007</stp>
        <stp>FQ2 2007</stp>
        <stp>[FA1_ivyerigx.xlsx]Cash Flow - Standardized!R20C38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4"/>
      </tp>
      <tp>
        <v>1840.64</v>
        <stp/>
        <stp>##V3_BDHV12</stp>
        <stp>XOM US Equity</stp>
        <stp>IS_TOT_CASH_COM_DVD</stp>
        <stp>FQ4 2006</stp>
        <stp>FQ4 2006</stp>
        <stp>[FA1_ivyerigx.xlsx]Income - Adjusted!R54C36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4" s="2"/>
      </tp>
      <tp>
        <v>1522</v>
        <stp/>
        <stp>##V3_BDHV12</stp>
        <stp>XOM US Equity</stp>
        <stp>IS_TOT_CASH_COM_DVD</stp>
        <stp>FQ1 2001</stp>
        <stp>FQ1 2001</stp>
        <stp>[FA1_ivyerigx.xlsx]Income - Adjusted!R54C13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4" s="2"/>
      </tp>
      <tp>
        <v>8520</v>
        <stp/>
        <stp>##V3_BDHV12</stp>
        <stp>XOM US Equity</stp>
        <stp>GROSS_PROFIT</stp>
        <stp>FQ1 1999</stp>
        <stp>FQ1 1999</stp>
        <stp>[FA1_ivyerigx.xlsx]Income - Adjusted!R8C5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2"/>
      </tp>
      <tp>
        <v>8606</v>
        <stp/>
        <stp>##V3_BDHV12</stp>
        <stp>XOM US Equity</stp>
        <stp>FREE_CASH_FLOW_EQUITY</stp>
        <stp>FQ2 2007</stp>
        <stp>FQ2 2007</stp>
        <stp>[FA1_ivyerigx.xlsx]Cash Flow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4"/>
      </tp>
      <tp>
        <v>0</v>
        <stp/>
        <stp>##V3_BDHV12</stp>
        <stp>XOM US Equity</stp>
        <stp>IS_TOT_CASH_PFD_DVD</stp>
        <stp>FQ2 2002</stp>
        <stp>FQ2 2002</stp>
        <stp>[FA1_ivyerigx.xlsx]Income - Adjusted!R25C18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2"/>
      </tp>
      <tp>
        <v>9744</v>
        <stp/>
        <stp>##V3_BDHV12</stp>
        <stp>XOM US Equity</stp>
        <stp>GROSS_PROFIT</stp>
        <stp>FQ3 1999</stp>
        <stp>FQ3 1999</stp>
        <stp>[FA1_ivyerigx.xlsx]Income - Adjusted!R8C7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2"/>
      </tp>
      <tp>
        <v>9219</v>
        <stp/>
        <stp>##V3_BDHV12</stp>
        <stp>XOM US Equity</stp>
        <stp>GROSS_PROFIT</stp>
        <stp>FQ2 1999</stp>
        <stp>FQ2 1999</stp>
        <stp>[FA1_ivyerigx.xlsx]Income - Adjusted!R8C6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2"/>
      </tp>
      <tp>
        <v>0</v>
        <stp/>
        <stp>##V3_BDHV12</stp>
        <stp>XOM US Equity</stp>
        <stp>IS_TOT_CASH_PFD_DVD</stp>
        <stp>FQ4 2006</stp>
        <stp>FQ4 2006</stp>
        <stp>[FA1_ivyerigx.xlsx]Income - Adjusted!R25C36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2"/>
      </tp>
      <tp>
        <v>0</v>
        <stp/>
        <stp>##V3_BDHV12</stp>
        <stp>XOM US Equity</stp>
        <stp>IS_TOT_CASH_PFD_DVD</stp>
        <stp>FQ1 2001</stp>
        <stp>FQ1 2001</stp>
        <stp>[FA1_ivyerigx.xlsx]Income - Adjusted!R25C13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2"/>
      </tp>
      <tp>
        <v>-5295</v>
        <stp/>
        <stp>##V3_BDHV12</stp>
        <stp>XOM US Equity</stp>
        <stp>PROC_FR_REPURCH_EQTY_DETAILED</stp>
        <stp>FQ4 2005</stp>
        <stp>FQ4 2005</stp>
        <stp>[FA1_ivyerigx.xlsx]Cash Flow - Standardized!R30C32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4"/>
      </tp>
      <tp>
        <v>7021</v>
        <stp/>
        <stp>##V3_BDHV12</stp>
        <stp>XOM US Equity</stp>
        <stp>FREE_CASH_FLOW_EQUITY</stp>
        <stp>FQ2 2005</stp>
        <stp>FQ2 2005</stp>
        <stp>[FA1_ivyerigx.xlsx]Cash Flow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4"/>
      </tp>
      <tp t="s">
        <v>—</v>
        <stp/>
        <stp>##V3_BDHV12</stp>
        <stp>XOM US Equity</stp>
        <stp>FREE_CASH_FLOW_EQUITY</stp>
        <stp>FQ2 2006</stp>
        <stp>FQ2 2006</stp>
        <stp>[FA1_ivyerigx.xlsx]Cash Flow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4"/>
      </tp>
      <tp>
        <v>7034</v>
        <stp/>
        <stp>##V3_BDHV12</stp>
        <stp>XOM US Equity</stp>
        <stp>FREE_CASH_FLOW_EQUITY</stp>
        <stp>FQ3 2004</stp>
        <stp>FQ3 2004</stp>
        <stp>[FA1_ivyerigx.xlsx]Cash Flow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4"/>
      </tp>
      <tp>
        <v>36.0625</v>
        <stp/>
        <stp>##V3_BDHV12</stp>
        <stp>XOM US Equity</stp>
        <stp>PX_LOW</stp>
        <stp>FQ3 1999</stp>
        <stp>FQ3 1999</stp>
        <stp>[FA1_ivyerigx.xlsx]Stock Value!R10C7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0" s="6"/>
      </tp>
      <tp>
        <v>-7814</v>
        <stp/>
        <stp>##V3_BDHV12</stp>
        <stp>XOM US Equity</stp>
        <stp>PROC_FR_REPURCH_EQTY_DETAILED</stp>
        <stp>FQ4 2006</stp>
        <stp>FQ4 2006</stp>
        <stp>[FA1_ivyerigx.xlsx]Cash Flow - Standardized!R30C36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4"/>
      </tp>
      <tp>
        <v>2235</v>
        <stp/>
        <stp>##V3_BDHV12</stp>
        <stp>XOM US Equity</stp>
        <stp>FREE_CASH_FLOW_EQUITY</stp>
        <stp>FQ3 2003</stp>
        <stp>FQ3 2003</stp>
        <stp>[FA1_ivyerigx.xlsx]Cash Flow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4"/>
      </tp>
      <tp>
        <v>82100</v>
        <stp/>
        <stp>##V3_BDHV12</stp>
        <stp>XOM US Equity</stp>
        <stp>NUM_OF_EMPLOYEES</stp>
        <stp>FQ4 2006</stp>
        <stp>FQ4 2006</stp>
        <stp>[FA1_ivyerigx.xlsx]Bal Sheet - Standardized!R65C36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5" s="3"/>
      </tp>
      <tp t="s">
        <v>—</v>
        <stp/>
        <stp>##V3_BDHV12</stp>
        <stp>XOM US Equity</stp>
        <stp>NUM_OF_EMPLOYEES</stp>
        <stp>FQ1 2006</stp>
        <stp>FQ1 2006</stp>
        <stp>[FA1_ivyerigx.xlsx]Bal Sheet - Standardized!R65C33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5" s="3"/>
      </tp>
      <tp t="s">
        <v>—</v>
        <stp/>
        <stp>##V3_BDHV12</stp>
        <stp>XOM US Equity</stp>
        <stp>NUM_OF_EMPLOYEES</stp>
        <stp>FQ1 2002</stp>
        <stp>FQ1 2002</stp>
        <stp>[FA1_ivyerigx.xlsx]Bal Sheet - Standardized!R65C17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5" s="3"/>
      </tp>
      <tp>
        <v>6461</v>
        <stp/>
        <stp>##V3_BDHV12</stp>
        <stp>XOM US Equity</stp>
        <stp>IS_SH_FOR_DILUTED_EPS</stp>
        <stp>FQ4 2004</stp>
        <stp>FQ4 2004</stp>
        <stp>[FA1_ivyerigx.xlsx]Income - Adjusted!R38C28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8" s="2"/>
      </tp>
      <tp>
        <v>6421</v>
        <stp/>
        <stp>##V3_BDHV12</stp>
        <stp>XOM US Equity</stp>
        <stp>IS_SH_FOR_DILUTED_EPS</stp>
        <stp>FQ1 2005</stp>
        <stp>FQ1 2005</stp>
        <stp>[FA1_ivyerigx.xlsx]Income - Adjusted!R38C29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8" s="2"/>
      </tp>
      <tp>
        <v>15.8969</v>
        <stp/>
        <stp>##V3_BDHV12</stp>
        <stp>XOM US Equity</stp>
        <stp>BOOK_VAL_PER_SH</stp>
        <stp>FQ4 2004</stp>
        <stp>FQ4 2004</stp>
        <stp>[FA1_ivyerigx.xlsx]Per Share!R26C28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6" s="5"/>
      </tp>
      <tp>
        <v>16.29</v>
        <stp/>
        <stp>##V3_BDHV12</stp>
        <stp>XOM US Equity</stp>
        <stp>BOOK_VAL_PER_SH</stp>
        <stp>FQ1 2005</stp>
        <stp>FQ1 2005</stp>
        <stp>[FA1_ivyerigx.xlsx]Per Share!R26C29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6" s="5"/>
      </tp>
      <tp>
        <v>58</v>
        <stp/>
        <stp>##V3_BDHV12</stp>
        <stp>XOM US Equity</stp>
        <stp>IS_NET_INTEREST_EXPENSE</stp>
        <stp>FQ3 1999</stp>
        <stp>FQ3 1999</stp>
        <stp>[FA1_ivyerigx.xlsx]Income - Adjusted!R13C7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45</v>
        <stp/>
        <stp>##V3_BDHV12</stp>
        <stp>XOM US Equity</stp>
        <stp>IS_NET_INTEREST_EXPENSE</stp>
        <stp>FQ2 1999</stp>
        <stp>FQ2 1999</stp>
        <stp>[FA1_ivyerigx.xlsx]Income - Adjusted!R13C6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94</v>
        <stp/>
        <stp>##V3_BDHV12</stp>
        <stp>XOM US Equity</stp>
        <stp>IS_NET_INTEREST_EXPENSE</stp>
        <stp>FQ1 1999</stp>
        <stp>FQ1 1999</stp>
        <stp>[FA1_ivyerigx.xlsx]Income - Adjusted!R13C5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-2866</v>
        <stp/>
        <stp>##V3_BDHV12</stp>
        <stp>XOM US Equity</stp>
        <stp>OTHER_INS_RES_TO_SHRHLDR_EQY</stp>
        <stp>FQ4 1999</stp>
        <stp>FQ4 1999</stp>
        <stp>[FA1_ivyerigx.xlsx]Bal Sheet - Standardized!R45C8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5" s="3"/>
      </tp>
      <tp>
        <v>40.92</v>
        <stp/>
        <stp>##V3_BDHV12</stp>
        <stp>XOM US Equity</stp>
        <stp>PX_LAST</stp>
        <stp>FQ2 2002</stp>
        <stp>FQ2 2002</stp>
        <stp>[FA1_ivyerigx.xlsx]Stock Value!R6C18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" s="6"/>
      </tp>
      <tp>
        <v>83.88</v>
        <stp/>
        <stp>##V3_BDHV12</stp>
        <stp>XOM US Equity</stp>
        <stp>PX_LAST</stp>
        <stp>FQ2 2007</stp>
        <stp>FQ2 2007</stp>
        <stp>[FA1_ivyerigx.xlsx]Stock Value!R6C38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" s="6"/>
      </tp>
      <tp>
        <v>51.26</v>
        <stp/>
        <stp>##V3_BDHV12</stp>
        <stp>XOM US Equity</stp>
        <stp>PX_LAST</stp>
        <stp>FQ4 2004</stp>
        <stp>FQ4 2004</stp>
        <stp>[FA1_ivyerigx.xlsx]Stock Value!R6C28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" s="6"/>
      </tp>
      <tp t="s">
        <v>—</v>
        <stp/>
        <stp>##V3_BDHV12</stp>
        <stp>XOM US Equity</stp>
        <stp>BS_OPTIONS_OUTSTANDING</stp>
        <stp>FQ2 2000</stp>
        <stp>FQ2 2000</stp>
        <stp>[FA1_ivyerigx.xlsx]Bal Sheet - Standardized!R59C10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9" s="3"/>
      </tp>
      <tp t="s">
        <v>—</v>
        <stp/>
        <stp>##V3_BDHV12</stp>
        <stp>XOM US Equity</stp>
        <stp>BS_OPTIONS_OUTSTANDING</stp>
        <stp>FQ3 2000</stp>
        <stp>FQ3 2000</stp>
        <stp>[FA1_ivyerigx.xlsx]Bal Sheet - Standardized!R59C11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9" s="3"/>
      </tp>
      <tp>
        <v>0.35</v>
        <stp/>
        <stp>##V3_BDHV12</stp>
        <stp>XOM US Equity</stp>
        <stp>EQY_DPS</stp>
        <stp>FQ1 2008</stp>
        <stp>FQ1 2008</stp>
        <stp>[FA1_ivyerigx.xlsx]Income - Adjusted!R53C41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3" s="2"/>
      </tp>
      <tp>
        <v>0.28999999999999998</v>
        <stp/>
        <stp>##V3_BDHV12</stp>
        <stp>XOM US Equity</stp>
        <stp>IS_DILUTED_EPS</stp>
        <stp>FQ3 1998</stp>
        <stp>FQ3 1998</stp>
        <stp>[FA1_ivyerigx.xlsx]Income - Adjusted!R39C3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9" s="2"/>
      </tp>
      <tp>
        <v>0.31</v>
        <stp/>
        <stp>##V3_BDHV12</stp>
        <stp>XOM US Equity</stp>
        <stp>IS_DILUTED_EPS</stp>
        <stp>FQ4 1998</stp>
        <stp>FQ4 1998</stp>
        <stp>[FA1_ivyerigx.xlsx]Income - Adjusted!R39C4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9" s="2"/>
      </tp>
      <tp>
        <v>0.49680000000000002</v>
        <stp/>
        <stp>##V3_BDHV12</stp>
        <stp>XOM US Equity</stp>
        <stp>CASH_FLOW_PER_SH</stp>
        <stp>FQ4 2001</stp>
        <stp>FQ4 2001</stp>
        <stp>[FA1_ivyerigx.xlsx]Per Share!R22C16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2" s="5"/>
      </tp>
      <tp>
        <v>1.0333000000000001</v>
        <stp/>
        <stp>##V3_BDHV12</stp>
        <stp>XOM US Equity</stp>
        <stp>CASH_FLOW_PER_SH</stp>
        <stp>FQ4 2003</stp>
        <stp>FQ4 2003</stp>
        <stp>[FA1_ivyerigx.xlsx]Per Share!R22C24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2" s="5"/>
      </tp>
      <tp>
        <v>2.0901999999999998</v>
        <stp/>
        <stp>##V3_BDHV12</stp>
        <stp>XOM US Equity</stp>
        <stp>CASH_FLOW_PER_SH</stp>
        <stp>FQ4 2007</stp>
        <stp>FQ4 2007</stp>
        <stp>[FA1_ivyerigx.xlsx]Per Share!R22C40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2" s="5"/>
      </tp>
      <tp>
        <v>1.6688000000000001</v>
        <stp/>
        <stp>##V3_BDHV12</stp>
        <stp>XOM US Equity</stp>
        <stp>CASH_FLOW_PER_SH</stp>
        <stp>FQ4 2005</stp>
        <stp>FQ4 2005</stp>
        <stp>[FA1_ivyerigx.xlsx]Per Share!R22C32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2" s="5"/>
      </tp>
      <tp>
        <v>45.653300000000002</v>
        <stp/>
        <stp>##V3_BDHV12</stp>
        <stp>XOM US Equity</stp>
        <stp>TCE_RATIO</stp>
        <stp>FQ2 2000</stp>
        <stp>FQ2 2000</stp>
        <stp>[FA1_ivyerigx.xlsx]Bal Sheet - Standardized!R62C10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2" s="3"/>
      </tp>
      <tp>
        <v>45.942700000000002</v>
        <stp/>
        <stp>##V3_BDHV12</stp>
        <stp>XOM US Equity</stp>
        <stp>TCE_RATIO</stp>
        <stp>FQ3 2000</stp>
        <stp>FQ3 2000</stp>
        <stp>[FA1_ivyerigx.xlsx]Bal Sheet - Standardized!R62C11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2" s="3"/>
      </tp>
      <tp>
        <v>-2426</v>
        <stp/>
        <stp>##V3_BDHV12</stp>
        <stp>XOM US Equity</stp>
        <stp>ACQUIS_FXD_&amp;_INTANG_DETAILED</stp>
        <stp>FQ1 2002</stp>
        <stp>FQ1 2002</stp>
        <stp>[FA1_ivyerigx.xlsx]Cash Flow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4"/>
      </tp>
      <tp>
        <v>-3492</v>
        <stp/>
        <stp>##V3_BDHV12</stp>
        <stp>XOM US Equity</stp>
        <stp>ACQUIS_FXD_&amp;_INTANG_DETAILED</stp>
        <stp>FQ3 2005</stp>
        <stp>FQ3 2005</stp>
        <stp>[FA1_ivyerigx.xlsx]Cash Flow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4"/>
      </tp>
      <tp>
        <v>-3715</v>
        <stp/>
        <stp>##V3_BDHV12</stp>
        <stp>XOM US Equity</stp>
        <stp>ACQUIS_FXD_&amp;_INTANG_DETAILED</stp>
        <stp>FQ3 2006</stp>
        <stp>FQ3 2006</stp>
        <stp>[FA1_ivyerigx.xlsx]Cash Flow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4"/>
      </tp>
      <tp>
        <v>-2932</v>
        <stp/>
        <stp>##V3_BDHV12</stp>
        <stp>XOM US Equity</stp>
        <stp>ACQUIS_FXD_&amp;_INTANG_DETAILED</stp>
        <stp>FQ2 2004</stp>
        <stp>FQ2 2004</stp>
        <stp>[FA1_ivyerigx.xlsx]Cash Flow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4"/>
      </tp>
      <tp>
        <v>-4560</v>
        <stp/>
        <stp>##V3_BDHV12</stp>
        <stp>XOM US Equity</stp>
        <stp>ACQUIS_FXD_&amp;_INTANG_DETAILED</stp>
        <stp>FQ4 2007</stp>
        <stp>FQ4 2007</stp>
        <stp>[FA1_ivyerigx.xlsx]Cash Flow - Standardized!R20C40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4"/>
      </tp>
      <tp>
        <v>-3294</v>
        <stp/>
        <stp>##V3_BDHV12</stp>
        <stp>XOM US Equity</stp>
        <stp>ACQUIS_FXD_&amp;_INTANG_DETAILED</stp>
        <stp>FQ2 2003</stp>
        <stp>FQ2 2003</stp>
        <stp>[FA1_ivyerigx.xlsx]Cash Flow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4"/>
      </tp>
      <tp>
        <v>-2028</v>
        <stp/>
        <stp>##V3_BDHV12</stp>
        <stp>XOM US Equity</stp>
        <stp>ACQUIS_FXD_&amp;_INTANG_DETAILED</stp>
        <stp>FQ1 2001</stp>
        <stp>FQ1 2001</stp>
        <stp>[FA1_ivyerigx.xlsx]Cash Flow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4"/>
      </tp>
      <tp>
        <v>1552</v>
        <stp/>
        <stp>##V3_BDHV12</stp>
        <stp>XOM US Equity</stp>
        <stp>IS_TOT_CASH_COM_DVD</stp>
        <stp>FQ3 2002</stp>
        <stp>FQ3 2002</stp>
        <stp>[FA1_ivyerigx.xlsx]Income - Adjusted!R54C19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4" s="2"/>
      </tp>
      <tp>
        <v>-3935</v>
        <stp/>
        <stp>##V3_BDHV12</stp>
        <stp>XOM US Equity</stp>
        <stp>ACQUIS_FXD_&amp;_INTANG_DETAILED</stp>
        <stp>FQ3 2007</stp>
        <stp>FQ3 2007</stp>
        <stp>[FA1_ivyerigx.xlsx]Cash Flow - Standardized!R20C39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4"/>
      </tp>
      <tp>
        <v>1541</v>
        <stp/>
        <stp>##V3_BDHV12</stp>
        <stp>XOM US Equity</stp>
        <stp>IS_TOT_CASH_COM_DVD</stp>
        <stp>FQ1 2003</stp>
        <stp>FQ1 2003</stp>
        <stp>[FA1_ivyerigx.xlsx]Income - Adjusted!R54C21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4" s="2"/>
      </tp>
      <tp>
        <v>-8304</v>
        <stp/>
        <stp>##V3_BDHV12</stp>
        <stp>XOM US Equity</stp>
        <stp>PROC_FR_REPURCH_EQTY_DETAILED</stp>
        <stp>FQ2 2008</stp>
        <stp>FQ2 2008</stp>
        <stp>[FA1_ivyerigx.xlsx]Cash Flow - Standardized!R30C42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4"/>
      </tp>
      <tp>
        <v>11786</v>
        <stp/>
        <stp>##V3_BDHV12</stp>
        <stp>XOM US Equity</stp>
        <stp>FREE_CASH_FLOW_EQUITY</stp>
        <stp>FQ3 2007</stp>
        <stp>FQ3 2007</stp>
        <stp>[FA1_ivyerigx.xlsx]Cash Flow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4"/>
      </tp>
      <tp>
        <v>-2756</v>
        <stp/>
        <stp>##V3_BDHV12</stp>
        <stp>XOM US Equity</stp>
        <stp>PROC_FR_REPURCH_EQTY_DETAILED</stp>
        <stp>FQ4 2004</stp>
        <stp>FQ4 2004</stp>
        <stp>[FA1_ivyerigx.xlsx]Cash Flow - Standardized!R30C28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4"/>
      </tp>
      <tp>
        <v>0</v>
        <stp/>
        <stp>##V3_BDHV12</stp>
        <stp>XOM US Equity</stp>
        <stp>IS_TOT_CASH_PFD_DVD</stp>
        <stp>FQ3 2002</stp>
        <stp>FQ3 2002</stp>
        <stp>[FA1_ivyerigx.xlsx]Income - Adjusted!R25C19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2"/>
      </tp>
      <tp t="s">
        <v>—</v>
        <stp/>
        <stp>##V3_BDHV12</stp>
        <stp>XOM US Equity</stp>
        <stp>FREE_CASH_FLOW_EQUITY</stp>
        <stp>FQ1 2002</stp>
        <stp>FQ1 2002</stp>
        <stp>[FA1_ivyerigx.xlsx]Cash Flow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4"/>
      </tp>
      <tp>
        <v>0</v>
        <stp/>
        <stp>##V3_BDHV12</stp>
        <stp>XOM US Equity</stp>
        <stp>IS_TOT_CASH_PFD_DVD</stp>
        <stp>FQ1 2003</stp>
        <stp>FQ1 2003</stp>
        <stp>[FA1_ivyerigx.xlsx]Income - Adjusted!R25C21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2"/>
      </tp>
      <tp>
        <v>-1659</v>
        <stp/>
        <stp>##V3_BDHV12</stp>
        <stp>XOM US Equity</stp>
        <stp>PROC_FR_REPURCH_EQTY_DETAILED</stp>
        <stp>FQ4 2003</stp>
        <stp>FQ4 2003</stp>
        <stp>[FA1_ivyerigx.xlsx]Cash Flow - Standardized!R30C24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4"/>
      </tp>
      <tp>
        <v>12291</v>
        <stp/>
        <stp>##V3_BDHV12</stp>
        <stp>XOM US Equity</stp>
        <stp>FREE_CASH_FLOW_EQUITY</stp>
        <stp>FQ3 2005</stp>
        <stp>FQ3 2005</stp>
        <stp>[FA1_ivyerigx.xlsx]Cash Flow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4"/>
      </tp>
      <tp t="s">
        <v>—</v>
        <stp/>
        <stp>##V3_BDHV12</stp>
        <stp>XOM US Equity</stp>
        <stp>FREE_CASH_FLOW_EQUITY</stp>
        <stp>FQ3 2006</stp>
        <stp>FQ3 2006</stp>
        <stp>[FA1_ivyerigx.xlsx]Cash Flow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4"/>
      </tp>
      <tp>
        <v>6494</v>
        <stp/>
        <stp>##V3_BDHV12</stp>
        <stp>XOM US Equity</stp>
        <stp>FREE_CASH_FLOW_EQUITY</stp>
        <stp>FQ2 2004</stp>
        <stp>FQ2 2004</stp>
        <stp>[FA1_ivyerigx.xlsx]Cash Flow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4"/>
      </tp>
      <tp>
        <v>34.718800000000002</v>
        <stp/>
        <stp>##V3_BDHV12</stp>
        <stp>XOM US Equity</stp>
        <stp>PX_LOW</stp>
        <stp>FQ2 1999</stp>
        <stp>FQ2 1999</stp>
        <stp>[FA1_ivyerigx.xlsx]Stock Value!R10C6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0" s="6"/>
      </tp>
      <tp>
        <v>8976</v>
        <stp/>
        <stp>##V3_BDHV12</stp>
        <stp>XOM US Equity</stp>
        <stp>FREE_CASH_FLOW_EQUITY</stp>
        <stp>FQ4 2007</stp>
        <stp>FQ4 2007</stp>
        <stp>[FA1_ivyerigx.xlsx]Cash Flow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4"/>
      </tp>
      <tp>
        <v>-1097</v>
        <stp/>
        <stp>##V3_BDHV12</stp>
        <stp>XOM US Equity</stp>
        <stp>PROC_FR_REPURCH_EQTY_DETAILED</stp>
        <stp>FQ4 2002</stp>
        <stp>FQ4 2002</stp>
        <stp>[FA1_ivyerigx.xlsx]Cash Flow - Standardized!R30C20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4"/>
      </tp>
      <tp>
        <v>3692</v>
        <stp/>
        <stp>##V3_BDHV12</stp>
        <stp>XOM US Equity</stp>
        <stp>FREE_CASH_FLOW_EQUITY</stp>
        <stp>FQ2 2003</stp>
        <stp>FQ2 2003</stp>
        <stp>[FA1_ivyerigx.xlsx]Cash Flow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4"/>
      </tp>
      <tp t="s">
        <v>—</v>
        <stp/>
        <stp>##V3_BDHV12</stp>
        <stp>XOM US Equity</stp>
        <stp>FREE_CASH_FLOW_EQUITY</stp>
        <stp>FQ1 2001</stp>
        <stp>FQ1 2001</stp>
        <stp>[FA1_ivyerigx.xlsx]Cash Flow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4"/>
      </tp>
      <tp>
        <v>0.44</v>
        <stp/>
        <stp>##V3_BDHV12</stp>
        <stp>XOM US Equity</stp>
        <stp>IS_BASIC_EPS_CONT_OPS</stp>
        <stp>FQ4 2001</stp>
        <stp>FQ4 2001</stp>
        <stp>[FA1_ivyerigx.xlsx]Income - Adjusted!R36C16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6" s="2"/>
      </tp>
      <tp>
        <v>0.67200000000000004</v>
        <stp/>
        <stp>##V3_BDHV12</stp>
        <stp>XOM US Equity</stp>
        <stp>IS_BASIC_EPS_CONT_OPS</stp>
        <stp>FQ4 2003</stp>
        <stp>FQ4 2003</stp>
        <stp>[FA1_ivyerigx.xlsx]Income - Adjusted!R36C24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6" s="2"/>
      </tp>
      <tp>
        <v>2.15</v>
        <stp/>
        <stp>##V3_BDHV12</stp>
        <stp>XOM US Equity</stp>
        <stp>IS_BASIC_EPS_CONT_OPS</stp>
        <stp>FQ4 2007</stp>
        <stp>FQ4 2007</stp>
        <stp>[FA1_ivyerigx.xlsx]Income - Adjusted!R36C40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6" s="2"/>
      </tp>
      <tp>
        <v>1.6600000000000001</v>
        <stp/>
        <stp>##V3_BDHV12</stp>
        <stp>XOM US Equity</stp>
        <stp>IS_BASIC_EPS_CONT_OPS</stp>
        <stp>FQ4 2005</stp>
        <stp>FQ4 2005</stp>
        <stp>[FA1_ivyerigx.xlsx]Income - Adjusted!R36C32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6" s="2"/>
      </tp>
      <tp>
        <v>-2127</v>
        <stp/>
        <stp>##V3_BDHV12</stp>
        <stp>XOM US Equity</stp>
        <stp>INC_DEC_IN_OT_OP_AST_LIAB_DETAIL</stp>
        <stp>FQ4 2005</stp>
        <stp>FQ4 2005</stp>
        <stp>[FA1_ivyerigx.xlsx]Cash Flow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4"/>
      </tp>
      <tp>
        <v>-4299</v>
        <stp/>
        <stp>##V3_BDHV12</stp>
        <stp>XOM US Equity</stp>
        <stp>INC_DEC_IN_OT_OP_AST_LIAB_DETAIL</stp>
        <stp>FQ4 2006</stp>
        <stp>FQ4 2006</stp>
        <stp>[FA1_ivyerigx.xlsx]Cash Flow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4"/>
      </tp>
      <tp>
        <v>113687</v>
        <stp/>
        <stp>##V3_BDHV12</stp>
        <stp>XOM US Equity</stp>
        <stp>BS_NET_FIX_ASSET</stp>
        <stp>FQ4 2006</stp>
        <stp>FQ4 2006</stp>
        <stp>[FA1_ivyerigx.xlsx]Bal Sheet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3"/>
      </tp>
      <tp t="s">
        <v>—</v>
        <stp/>
        <stp>##V3_BDHV12</stp>
        <stp>XOM US Equity</stp>
        <stp>BS_OPTIONS_OUTSTANDING</stp>
        <stp>FQ1 2007</stp>
        <stp>FQ1 2007</stp>
        <stp>[FA1_ivyerigx.xlsx]Bal Sheet - Standardized!R59C37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9" s="3"/>
      </tp>
      <tp>
        <v>107010</v>
        <stp/>
        <stp>##V3_BDHV12</stp>
        <stp>XOM US Equity</stp>
        <stp>BS_NET_FIX_ASSET</stp>
        <stp>FQ4 2005</stp>
        <stp>FQ4 2005</stp>
        <stp>[FA1_ivyerigx.xlsx]Bal Sheet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3"/>
      </tp>
      <tp>
        <v>0.4</v>
        <stp/>
        <stp>##V3_BDHV12</stp>
        <stp>XOM US Equity</stp>
        <stp>EQY_DPS</stp>
        <stp>FQ2 2008</stp>
        <stp>FQ2 2008</stp>
        <stp>[FA1_ivyerigx.xlsx]Income - Adjusted!R53C42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3" s="2"/>
      </tp>
      <tp>
        <v>0.23</v>
        <stp/>
        <stp>##V3_BDHV12</stp>
        <stp>XOM US Equity</stp>
        <stp>EQY_DPS</stp>
        <stp>FQ2 2002</stp>
        <stp>FQ2 2002</stp>
        <stp>[FA1_ivyerigx.xlsx]Income - Adjusted!R53C18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3" s="2"/>
      </tp>
      <tp>
        <v>480</v>
        <stp/>
        <stp>##V3_BDHV12</stp>
        <stp>XOM US Equity</stp>
        <stp>BS_MKT_SEC_OTHER_ST_INVEST</stp>
        <stp>FQ1 2008</stp>
        <stp>FQ1 2008</stp>
        <stp>[FA1_ivyerigx.xlsx]Bal Sheet - Standardized!R9C41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9" s="3"/>
      </tp>
      <tp>
        <v>732</v>
        <stp/>
        <stp>##V3_BDHV12</stp>
        <stp>XOM US Equity</stp>
        <stp>BS_MKT_SEC_OTHER_ST_INVEST</stp>
        <stp>FQ2 2008</stp>
        <stp>FQ2 2008</stp>
        <stp>[FA1_ivyerigx.xlsx]Bal Sheet - Standardized!R9C42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9" s="3"/>
      </tp>
      <tp>
        <v>2.5263999999999998</v>
        <stp/>
        <stp>##V3_BDHV12</stp>
        <stp>XOM US Equity</stp>
        <stp>CASH_FLOW_PER_SH</stp>
        <stp>FQ3 2005</stp>
        <stp>FQ3 2005</stp>
        <stp>[FA1_ivyerigx.xlsx]Per Share!R22C31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2" s="5"/>
      </tp>
      <tp>
        <v>0.76690000000000003</v>
        <stp/>
        <stp>##V3_BDHV12</stp>
        <stp>XOM US Equity</stp>
        <stp>CASH_FLOW_PER_SH</stp>
        <stp>FQ3 2001</stp>
        <stp>FQ3 2001</stp>
        <stp>[FA1_ivyerigx.xlsx]Per Share!R22C15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2" s="5"/>
      </tp>
      <tp>
        <v>51.101900000000001</v>
        <stp/>
        <stp>##V3_BDHV12</stp>
        <stp>XOM US Equity</stp>
        <stp>TCE_RATIO</stp>
        <stp>FQ1 2007</stp>
        <stp>FQ1 2007</stp>
        <stp>[FA1_ivyerigx.xlsx]Bal Sheet - Standardized!R62C37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2" s="3"/>
      </tp>
      <tp>
        <v>519</v>
        <stp/>
        <stp>##V3_BDHV12</stp>
        <stp>XOM US Equity</stp>
        <stp>BS_MKT_SEC_OTHER_ST_INVEST</stp>
        <stp>FQ4 2007</stp>
        <stp>FQ4 2007</stp>
        <stp>[FA1_ivyerigx.xlsx]Bal Sheet - Standardized!R9C40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9" s="3"/>
      </tp>
      <tp>
        <v>74.495500000000007</v>
        <stp/>
        <stp>##V3_BDHV12</stp>
        <stp>XOM US Equity</stp>
        <stp>CF_FREE_CASH_FLOW_FIRM</stp>
        <stp>FQ2 1999</stp>
        <stp>FQ2 1999</stp>
        <stp>[FA1_ivyerigx.xlsx]Cash Flow - Standardized!R47C6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7" s="4"/>
      </tp>
      <tp>
        <v>1163.2828999999999</v>
        <stp/>
        <stp>##V3_BDHV12</stp>
        <stp>XOM US Equity</stp>
        <stp>CF_FREE_CASH_FLOW_FIRM</stp>
        <stp>FQ3 1999</stp>
        <stp>FQ3 1999</stp>
        <stp>[FA1_ivyerigx.xlsx]Cash Flow - Standardized!R47C7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7" s="4"/>
      </tp>
      <tp>
        <v>982.19159999999999</v>
        <stp/>
        <stp>##V3_BDHV12</stp>
        <stp>XOM US Equity</stp>
        <stp>CF_FREE_CASH_FLOW_FIRM</stp>
        <stp>FQ1 1999</stp>
        <stp>FQ1 1999</stp>
        <stp>[FA1_ivyerigx.xlsx]Cash Flow - Standardized!R47C5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7" s="4"/>
      </tp>
      <tp>
        <v>-2342</v>
        <stp/>
        <stp>##V3_BDHV12</stp>
        <stp>XOM US Equity</stp>
        <stp>ACQUIS_FXD_&amp;_INTANG_DETAILED</stp>
        <stp>FQ2 2001</stp>
        <stp>FQ2 2001</stp>
        <stp>[FA1_ivyerigx.xlsx]Cash Flow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4"/>
      </tp>
      <tp>
        <v>-2810</v>
        <stp/>
        <stp>##V3_BDHV12</stp>
        <stp>XOM US Equity</stp>
        <stp>ACQUIS_FXD_&amp;_INTANG_DETAILED</stp>
        <stp>FQ1 2004</stp>
        <stp>FQ1 2004</stp>
        <stp>[FA1_ivyerigx.xlsx]Cash Flow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4"/>
      </tp>
      <tp>
        <v>-2938</v>
        <stp/>
        <stp>##V3_BDHV12</stp>
        <stp>XOM US Equity</stp>
        <stp>ACQUIS_FXD_&amp;_INTANG_DETAILED</stp>
        <stp>FQ1 2003</stp>
        <stp>FQ1 2003</stp>
        <stp>[FA1_ivyerigx.xlsx]Cash Flow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4"/>
      </tp>
      <tp>
        <v>-2032</v>
        <stp/>
        <stp>##V3_BDHV12</stp>
        <stp>XOM US Equity</stp>
        <stp>ACQUIS_FXD_&amp;_INTANG_DETAILED</stp>
        <stp>FQ2 2000</stp>
        <stp>FQ2 2000</stp>
        <stp>[FA1_ivyerigx.xlsx]Cash Flow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4"/>
      </tp>
      <tp>
        <v>-2713</v>
        <stp/>
        <stp>##V3_BDHV12</stp>
        <stp>XOM US Equity</stp>
        <stp>ACQUIS_FXD_&amp;_INTANG_DETAILED</stp>
        <stp>FQ1 2005</stp>
        <stp>FQ1 2005</stp>
        <stp>[FA1_ivyerigx.xlsx]Cash Flow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4"/>
      </tp>
      <tp>
        <v>1575.96</v>
        <stp/>
        <stp>##V3_BDHV12</stp>
        <stp>XOM US Equity</stp>
        <stp>IS_TOT_CASH_COM_DVD</stp>
        <stp>FQ3 2001</stp>
        <stp>FQ3 2001</stp>
        <stp>[FA1_ivyerigx.xlsx]Income - Adjusted!R54C15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4" s="2"/>
      </tp>
      <tp>
        <v>1532</v>
        <stp/>
        <stp>##V3_BDHV12</stp>
        <stp>XOM US Equity</stp>
        <stp>IS_TOT_CASH_COM_DVD</stp>
        <stp>FQ2 2000</stp>
        <stp>FQ2 2000</stp>
        <stp>[FA1_ivyerigx.xlsx]Income - Adjusted!R54C10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4" s="2"/>
      </tp>
      <tp>
        <v>-2837</v>
        <stp/>
        <stp>##V3_BDHV12</stp>
        <stp>XOM US Equity</stp>
        <stp>ACQUIS_FXD_&amp;_INTANG_DETAILED</stp>
        <stp>FQ2 2002</stp>
        <stp>FQ2 2002</stp>
        <stp>[FA1_ivyerigx.xlsx]Cash Flow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4"/>
      </tp>
      <tp>
        <v>1667</v>
        <stp/>
        <stp>##V3_BDHV12</stp>
        <stp>XOM US Equity</stp>
        <stp>IS_TOT_CASH_COM_DVD</stp>
        <stp>FQ2 2003</stp>
        <stp>FQ2 2003</stp>
        <stp>[FA1_ivyerigx.xlsx]Income - Adjusted!R54C22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4" s="2"/>
      </tp>
      <tp>
        <v>-9334</v>
        <stp/>
        <stp>##V3_BDHV12</stp>
        <stp>XOM US Equity</stp>
        <stp>PROC_FR_REPURCH_EQTY_DETAILED</stp>
        <stp>FQ1 2008</stp>
        <stp>FQ1 2008</stp>
        <stp>[FA1_ivyerigx.xlsx]Cash Flow - Standardized!R30C41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4"/>
      </tp>
      <tp>
        <v>12061</v>
        <stp/>
        <stp>##V3_BDHV12</stp>
        <stp>XOM US Equity</stp>
        <stp>FREE_CASH_FLOW_EQUITY</stp>
        <stp>FQ1 2005</stp>
        <stp>FQ1 2005</stp>
        <stp>[FA1_ivyerigx.xlsx]Cash Flow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4"/>
      </tp>
      <tp>
        <v>-1531</v>
        <stp/>
        <stp>##V3_BDHV12</stp>
        <stp>XOM US Equity</stp>
        <stp>CF_DVD_PAID</stp>
        <stp>FQ1 2000</stp>
        <stp>FQ1 2000</stp>
        <stp>[FA1_ivyerigx.xlsx]Cash Flow - Standardized!R28C9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8" s="4"/>
      </tp>
      <tp>
        <v>1924</v>
        <stp/>
        <stp>##V3_BDHV12</stp>
        <stp>XOM US Equity</stp>
        <stp>FREE_CASH_FLOW_EQUITY</stp>
        <stp>FQ2 2002</stp>
        <stp>FQ2 2002</stp>
        <stp>[FA1_ivyerigx.xlsx]Cash Flow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4"/>
      </tp>
      <tp>
        <v>0</v>
        <stp/>
        <stp>##V3_BDHV12</stp>
        <stp>XOM US Equity</stp>
        <stp>IS_TOT_CASH_PFD_DVD</stp>
        <stp>FQ2 2000</stp>
        <stp>FQ2 2000</stp>
        <stp>[FA1_ivyerigx.xlsx]Income - Adjusted!R25C10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2"/>
      </tp>
      <tp>
        <v>0</v>
        <stp/>
        <stp>##V3_BDHV12</stp>
        <stp>XOM US Equity</stp>
        <stp>IS_TOT_CASH_PFD_DVD</stp>
        <stp>FQ2 2003</stp>
        <stp>FQ2 2003</stp>
        <stp>[FA1_ivyerigx.xlsx]Income - Adjusted!R25C22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2"/>
      </tp>
      <tp>
        <v>-1355</v>
        <stp/>
        <stp>##V3_BDHV12</stp>
        <stp>XOM US Equity</stp>
        <stp>PROC_FR_REPURCH_EQTY_DETAILED</stp>
        <stp>FQ4 2001</stp>
        <stp>FQ4 2001</stp>
        <stp>[FA1_ivyerigx.xlsx]Cash Flow - Standardized!R30C16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4"/>
      </tp>
      <tp>
        <v>1937</v>
        <stp/>
        <stp>##V3_BDHV12</stp>
        <stp>XOM US Equity</stp>
        <stp>FREE_CASH_FLOW_EQUITY</stp>
        <stp>FQ2 2001</stp>
        <stp>FQ2 2001</stp>
        <stp>[FA1_ivyerigx.xlsx]Cash Flow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4"/>
      </tp>
      <tp>
        <v>0</v>
        <stp/>
        <stp>##V3_BDHV12</stp>
        <stp>XOM US Equity</stp>
        <stp>IS_TOT_CASH_PFD_DVD</stp>
        <stp>FQ3 2001</stp>
        <stp>FQ3 2001</stp>
        <stp>[FA1_ivyerigx.xlsx]Income - Adjusted!R25C15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2"/>
      </tp>
      <tp>
        <v>8102</v>
        <stp/>
        <stp>##V3_BDHV12</stp>
        <stp>XOM US Equity</stp>
        <stp>FREE_CASH_FLOW_EQUITY</stp>
        <stp>FQ1 2004</stp>
        <stp>FQ1 2004</stp>
        <stp>[FA1_ivyerigx.xlsx]Cash Flow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4"/>
      </tp>
      <tp t="s">
        <v>—</v>
        <stp/>
        <stp>##V3_BDHV12</stp>
        <stp>XOM US Equity</stp>
        <stp>FREE_CASH_FLOW_EQUITY</stp>
        <stp>FQ2 2000</stp>
        <stp>FQ2 2000</stp>
        <stp>[FA1_ivyerigx.xlsx]Cash Flow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4"/>
      </tp>
      <tp>
        <v>32.156300000000002</v>
        <stp/>
        <stp>##V3_BDHV12</stp>
        <stp>XOM US Equity</stp>
        <stp>PX_LOW</stp>
        <stp>FQ1 1999</stp>
        <stp>FQ1 1999</stp>
        <stp>[FA1_ivyerigx.xlsx]Stock Value!R10C5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0" s="6"/>
      </tp>
      <tp>
        <v>-1198</v>
        <stp/>
        <stp>##V3_BDHV12</stp>
        <stp>XOM US Equity</stp>
        <stp>PROC_FR_REPURCH_EQTY_DETAILED</stp>
        <stp>FQ4 2000</stp>
        <stp>FQ4 2000</stp>
        <stp>[FA1_ivyerigx.xlsx]Cash Flow - Standardized!R30C12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4"/>
      </tp>
      <tp>
        <v>6854</v>
        <stp/>
        <stp>##V3_BDHV12</stp>
        <stp>XOM US Equity</stp>
        <stp>FREE_CASH_FLOW_EQUITY</stp>
        <stp>FQ1 2003</stp>
        <stp>FQ1 2003</stp>
        <stp>[FA1_ivyerigx.xlsx]Cash Flow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4"/>
      </tp>
      <tp>
        <v>1240</v>
        <stp/>
        <stp>##V3_BDHV12</stp>
        <stp>XOM US Equity</stp>
        <stp>CF_NET_CHNG_CASH</stp>
        <stp>FQ1 2000</stp>
        <stp>FQ1 2000</stp>
        <stp>[FA1_ivyerigx.xlsx]Cash Flow - Standardized!R36C9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6" s="4"/>
      </tp>
      <tp t="s">
        <v>—</v>
        <stp/>
        <stp>##V3_BDHV12</stp>
        <stp>XOM US Equity</stp>
        <stp>NUM_OF_EMPLOYEES</stp>
        <stp>FQ4 2000</stp>
        <stp>FQ4 2000</stp>
        <stp>[FA1_ivyerigx.xlsx]Bal Sheet - Standardized!R65C12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5" s="3"/>
      </tp>
      <tp t="s">
        <v>—</v>
        <stp/>
        <stp>##V3_BDHV12</stp>
        <stp>XOM US Equity</stp>
        <stp>NUM_OF_EMPLOYEES</stp>
        <stp>FQ4 2002</stp>
        <stp>FQ4 2002</stp>
        <stp>[FA1_ivyerigx.xlsx]Bal Sheet - Standardized!R65C20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5" s="3"/>
      </tp>
      <tp>
        <v>1.34</v>
        <stp/>
        <stp>##V3_BDHV12</stp>
        <stp>XOM US Equity</stp>
        <stp>IS_BASIC_EPS_CONT_OPS</stp>
        <stp>FQ3 2005</stp>
        <stp>FQ3 2005</stp>
        <stp>[FA1_ivyerigx.xlsx]Income - Adjusted!R36C31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6" s="2"/>
      </tp>
      <tp>
        <v>0.46</v>
        <stp/>
        <stp>##V3_BDHV12</stp>
        <stp>XOM US Equity</stp>
        <stp>IS_BASIC_EPS_CONT_OPS</stp>
        <stp>FQ3 2001</stp>
        <stp>FQ3 2001</stp>
        <stp>[FA1_ivyerigx.xlsx]Income - Adjusted!R36C15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6" s="2"/>
      </tp>
      <tp>
        <v>5536</v>
        <stp/>
        <stp>##V3_BDHV12</stp>
        <stp>XOM US Equity</stp>
        <stp>IS_SH_FOR_DILUTED_EPS</stp>
        <stp>FQ3 2007</stp>
        <stp>FQ3 2007</stp>
        <stp>[FA1_ivyerigx.xlsx]Income - Adjusted!R38C39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8" s="2"/>
      </tp>
      <tp>
        <v>21.7102</v>
        <stp/>
        <stp>##V3_BDHV12</stp>
        <stp>XOM US Equity</stp>
        <stp>BOOK_VAL_PER_SH</stp>
        <stp>FQ3 2007</stp>
        <stp>FQ3 2007</stp>
        <stp>[FA1_ivyerigx.xlsx]Per Share!R26C39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6" s="5"/>
      </tp>
      <tp>
        <v>-4721</v>
        <stp/>
        <stp>##V3_BDHV12</stp>
        <stp>XOM US Equity</stp>
        <stp>INC_DEC_IN_OT_OP_AST_LIAB_DETAIL</stp>
        <stp>FQ4 2003</stp>
        <stp>FQ4 2003</stp>
        <stp>[FA1_ivyerigx.xlsx]Cash Flow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4"/>
      </tp>
      <tp>
        <v>-758</v>
        <stp/>
        <stp>##V3_BDHV12</stp>
        <stp>XOM US Equity</stp>
        <stp>INC_DEC_IN_OT_OP_AST_LIAB_DETAIL</stp>
        <stp>FQ4 2002</stp>
        <stp>FQ4 2002</stp>
        <stp>[FA1_ivyerigx.xlsx]Cash Flow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4"/>
      </tp>
      <tp>
        <v>124925</v>
        <stp/>
        <stp>##V3_BDHV12</stp>
        <stp>XOM US Equity</stp>
        <stp>BS_NET_FIX_ASSET</stp>
        <stp>FQ2 2008</stp>
        <stp>FQ2 2008</stp>
        <stp>[FA1_ivyerigx.xlsx]Bal Sheet - Standardized!R19C42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9" s="3"/>
      </tp>
      <tp>
        <v>108639</v>
        <stp/>
        <stp>##V3_BDHV12</stp>
        <stp>XOM US Equity</stp>
        <stp>BS_NET_FIX_ASSET</stp>
        <stp>FQ4 2004</stp>
        <stp>FQ4 2004</stp>
        <stp>[FA1_ivyerigx.xlsx]Bal Sheet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3"/>
      </tp>
      <tp>
        <v>94940</v>
        <stp/>
        <stp>##V3_BDHV12</stp>
        <stp>XOM US Equity</stp>
        <stp>BS_NET_FIX_ASSET</stp>
        <stp>FQ4 2002</stp>
        <stp>FQ4 2002</stp>
        <stp>[FA1_ivyerigx.xlsx]Bal Sheet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3"/>
      </tp>
      <tp>
        <v>1494</v>
        <stp/>
        <stp>##V3_BDHV12</stp>
        <stp>XOM US Equity</stp>
        <stp>INC_DEC_IN_OT_OP_AST_LIAB_DETAIL</stp>
        <stp>FQ4 2004</stp>
        <stp>FQ4 2004</stp>
        <stp>[FA1_ivyerigx.xlsx]Cash Flow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4"/>
      </tp>
      <tp>
        <v>-517</v>
        <stp/>
        <stp>##V3_BDHV12</stp>
        <stp>XOM US Equity</stp>
        <stp>INC_DEC_IN_OT_OP_AST_LIAB_DETAIL</stp>
        <stp>FQ2 2008</stp>
        <stp>FQ2 2008</stp>
        <stp>[FA1_ivyerigx.xlsx]Cash Flow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4"/>
      </tp>
      <tp>
        <v>104965</v>
        <stp/>
        <stp>##V3_BDHV12</stp>
        <stp>XOM US Equity</stp>
        <stp>BS_NET_FIX_ASSET</stp>
        <stp>FQ4 2003</stp>
        <stp>FQ4 2003</stp>
        <stp>[FA1_ivyerigx.xlsx]Bal Sheet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3"/>
      </tp>
      <tp>
        <v>134.327</v>
        <stp/>
        <stp>##V3_BDHV12</stp>
        <stp>XOM US Equity</stp>
        <stp>BS_OPTIONS_OUTSTANDING</stp>
        <stp>FQ2 2006</stp>
        <stp>FQ2 2006</stp>
        <stp>[FA1_ivyerigx.xlsx]Bal Sheet - Standardized!R59C34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9" s="3"/>
      </tp>
      <tp>
        <v>120.72499999999999</v>
        <stp/>
        <stp>##V3_BDHV12</stp>
        <stp>XOM US Equity</stp>
        <stp>BS_OPTIONS_OUTSTANDING</stp>
        <stp>FQ3 2006</stp>
        <stp>FQ3 2006</stp>
        <stp>[FA1_ivyerigx.xlsx]Bal Sheet - Standardized!R59C35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9" s="3"/>
      </tp>
      <tp t="s">
        <v>—</v>
        <stp/>
        <stp>##V3_BDHV12</stp>
        <stp>XOM US Equity</stp>
        <stp>BS_OPTIONS_OUTSTANDING</stp>
        <stp>FQ3 2004</stp>
        <stp>FQ3 2004</stp>
        <stp>[FA1_ivyerigx.xlsx]Bal Sheet - Standardized!R59C27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9" s="3"/>
      </tp>
      <tp t="s">
        <v>—</v>
        <stp/>
        <stp>##V3_BDHV12</stp>
        <stp>XOM US Equity</stp>
        <stp>BS_OPTIONS_OUTSTANDING</stp>
        <stp>FQ2 2004</stp>
        <stp>FQ2 2004</stp>
        <stp>[FA1_ivyerigx.xlsx]Bal Sheet - Standardized!R59C26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9" s="3"/>
      </tp>
      <tp t="s">
        <v>—</v>
        <stp/>
        <stp>##V3_BDHV12</stp>
        <stp>XOM US Equity</stp>
        <stp>BS_OPTIONS_OUTSTANDING</stp>
        <stp>FQ1 2004</stp>
        <stp>FQ1 2004</stp>
        <stp>[FA1_ivyerigx.xlsx]Bal Sheet - Standardized!R59C25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9" s="3"/>
      </tp>
      <tp>
        <v>0.23</v>
        <stp/>
        <stp>##V3_BDHV12</stp>
        <stp>XOM US Equity</stp>
        <stp>EQY_DPS</stp>
        <stp>FQ3 2002</stp>
        <stp>FQ3 2002</stp>
        <stp>[FA1_ivyerigx.xlsx]Income - Adjusted!R53C19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3" s="2"/>
      </tp>
      <tp>
        <v>1.4283999999999999</v>
        <stp/>
        <stp>##V3_BDHV12</stp>
        <stp>XOM US Equity</stp>
        <stp>CASH_FLOW_PER_SH</stp>
        <stp>FQ2 2005</stp>
        <stp>FQ2 2005</stp>
        <stp>[FA1_ivyerigx.xlsx]Per Share!R22C30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2" s="5"/>
      </tp>
      <tp>
        <v>0.80120000000000002</v>
        <stp/>
        <stp>##V3_BDHV12</stp>
        <stp>XOM US Equity</stp>
        <stp>CASH_FLOW_PER_SH</stp>
        <stp>FQ2 2001</stp>
        <stp>FQ2 2001</stp>
        <stp>[FA1_ivyerigx.xlsx]Per Share!R22C14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2" s="5"/>
      </tp>
      <tp>
        <v>2.4112</v>
        <stp/>
        <stp>##V3_BDHV12</stp>
        <stp>XOM US Equity</stp>
        <stp>CASH_FLOW_PER_SH</stp>
        <stp>FQ1 2006</stp>
        <stp>FQ1 2006</stp>
        <stp>[FA1_ivyerigx.xlsx]Per Share!R22C33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2" s="5"/>
      </tp>
      <tp>
        <v>0.68069999999999997</v>
        <stp/>
        <stp>##V3_BDHV12</stp>
        <stp>XOM US Equity</stp>
        <stp>CASH_FLOW_PER_SH</stp>
        <stp>FQ1 2002</stp>
        <stp>FQ1 2002</stp>
        <stp>[FA1_ivyerigx.xlsx]Per Share!R22C17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2" s="5"/>
      </tp>
      <tp>
        <v>5463</v>
        <stp/>
        <stp>##V3_BDHV12</stp>
        <stp>XOM US Equity</stp>
        <stp>BS_SH_OUT</stp>
        <stp>FQ3 2007</stp>
        <stp>FQ3 2007</stp>
        <stp>[FA1_ivyerigx.xlsx]Bal Sheet - Standardized!R53C39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3" s="3"/>
      </tp>
      <tp>
        <v>5546</v>
        <stp/>
        <stp>##V3_BDHV12</stp>
        <stp>XOM US Equity</stp>
        <stp>BS_SH_OUT</stp>
        <stp>FQ2 2007</stp>
        <stp>FQ2 2007</stp>
        <stp>[FA1_ivyerigx.xlsx]Bal Sheet - Standardized!R53C38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3" s="3"/>
      </tp>
      <tp>
        <v>52.3795</v>
        <stp/>
        <stp>##V3_BDHV12</stp>
        <stp>XOM US Equity</stp>
        <stp>TCE_RATIO</stp>
        <stp>FQ2 2006</stp>
        <stp>FQ2 2006</stp>
        <stp>[FA1_ivyerigx.xlsx]Bal Sheet - Standardized!R62C34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2" s="3"/>
      </tp>
      <tp>
        <v>52.062800000000003</v>
        <stp/>
        <stp>##V3_BDHV12</stp>
        <stp>XOM US Equity</stp>
        <stp>TCE_RATIO</stp>
        <stp>FQ3 2006</stp>
        <stp>FQ3 2006</stp>
        <stp>[FA1_ivyerigx.xlsx]Bal Sheet - Standardized!R62C35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2" s="3"/>
      </tp>
      <tp>
        <v>6365.7344999999996</v>
        <stp/>
        <stp>##V3_BDHV12</stp>
        <stp>XOM US Equity</stp>
        <stp>BS_SH_OUT</stp>
        <stp>FQ1 2005</stp>
        <stp>FQ1 2005</stp>
        <stp>[FA1_ivyerigx.xlsx]Bal Sheet - Standardized!R53C29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3" s="3"/>
      </tp>
      <tp>
        <v>50.9206</v>
        <stp/>
        <stp>##V3_BDHV12</stp>
        <stp>XOM US Equity</stp>
        <stp>TCE_RATIO</stp>
        <stp>FQ3 2004</stp>
        <stp>FQ3 2004</stp>
        <stp>[FA1_ivyerigx.xlsx]Bal Sheet - Standardized!R62C27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2" s="3"/>
      </tp>
      <tp>
        <v>51.679900000000004</v>
        <stp/>
        <stp>##V3_BDHV12</stp>
        <stp>XOM US Equity</stp>
        <stp>TCE_RATIO</stp>
        <stp>FQ2 2004</stp>
        <stp>FQ2 2004</stp>
        <stp>[FA1_ivyerigx.xlsx]Bal Sheet - Standardized!R62C26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2" s="3"/>
      </tp>
      <tp>
        <v>50.876800000000003</v>
        <stp/>
        <stp>##V3_BDHV12</stp>
        <stp>XOM US Equity</stp>
        <stp>TCE_RATIO</stp>
        <stp>FQ1 2004</stp>
        <stp>FQ1 2004</stp>
        <stp>[FA1_ivyerigx.xlsx]Bal Sheet - Standardized!R62C25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2" s="3"/>
      </tp>
      <tp>
        <v>1738</v>
        <stp/>
        <stp>##V3_BDHV12</stp>
        <stp>XOM US Equity</stp>
        <stp>IS_TOT_CASH_COM_DVD</stp>
        <stp>FQ4 2004</stp>
        <stp>FQ4 2004</stp>
        <stp>[FA1_ivyerigx.xlsx]Income - Adjusted!R54C28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4" s="2"/>
      </tp>
      <tp>
        <v>-3730</v>
        <stp/>
        <stp>##V3_BDHV12</stp>
        <stp>XOM US Equity</stp>
        <stp>ACQUIS_FXD_&amp;_INTANG_DETAILED</stp>
        <stp>FQ1 2006</stp>
        <stp>FQ1 2006</stp>
        <stp>[FA1_ivyerigx.xlsx]Cash Flow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4"/>
      </tp>
      <tp>
        <v>-2493</v>
        <stp/>
        <stp>##V3_BDHV12</stp>
        <stp>XOM US Equity</stp>
        <stp>ACQUIS_FXD_&amp;_INTANG_DETAILED</stp>
        <stp>FQ3 2001</stp>
        <stp>FQ3 2001</stp>
        <stp>[FA1_ivyerigx.xlsx]Cash Flow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4"/>
      </tp>
      <tp>
        <v>-3106</v>
        <stp/>
        <stp>##V3_BDHV12</stp>
        <stp>XOM US Equity</stp>
        <stp>ACQUIS_FXD_&amp;_INTANG_DETAILED</stp>
        <stp>FQ1 2007</stp>
        <stp>FQ1 2007</stp>
        <stp>[FA1_ivyerigx.xlsx]Cash Flow - Standardized!R20C37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4"/>
      </tp>
      <tp>
        <v>-2035</v>
        <stp/>
        <stp>##V3_BDHV12</stp>
        <stp>XOM US Equity</stp>
        <stp>ACQUIS_FXD_&amp;_INTANG_DETAILED</stp>
        <stp>FQ3 2000</stp>
        <stp>FQ3 2000</stp>
        <stp>[FA1_ivyerigx.xlsx]Cash Flow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4"/>
      </tp>
      <tp>
        <v>1583.09</v>
        <stp/>
        <stp>##V3_BDHV12</stp>
        <stp>XOM US Equity</stp>
        <stp>IS_TOT_CASH_COM_DVD</stp>
        <stp>FQ2 2001</stp>
        <stp>FQ2 2001</stp>
        <stp>[FA1_ivyerigx.xlsx]Income - Adjusted!R54C14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4" s="2"/>
      </tp>
      <tp>
        <v>1563</v>
        <stp/>
        <stp>##V3_BDHV12</stp>
        <stp>XOM US Equity</stp>
        <stp>IS_TOT_CASH_COM_DVD</stp>
        <stp>FQ1 2002</stp>
        <stp>FQ1 2002</stp>
        <stp>[FA1_ivyerigx.xlsx]Income - Adjusted!R54C17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4" s="2"/>
      </tp>
      <tp>
        <v>1841.66</v>
        <stp/>
        <stp>##V3_BDHV12</stp>
        <stp>XOM US Equity</stp>
        <stp>IS_TOT_CASH_COM_DVD</stp>
        <stp>FQ4 2005</stp>
        <stp>FQ4 2005</stp>
        <stp>[FA1_ivyerigx.xlsx]Income - Adjusted!R54C32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4" s="2"/>
      </tp>
      <tp>
        <v>1658</v>
        <stp/>
        <stp>##V3_BDHV12</stp>
        <stp>XOM US Equity</stp>
        <stp>IS_TOT_CASH_COM_DVD</stp>
        <stp>FQ3 2003</stp>
        <stp>FQ3 2003</stp>
        <stp>[FA1_ivyerigx.xlsx]Income - Adjusted!R54C23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4" s="2"/>
      </tp>
      <tp>
        <v>-2884</v>
        <stp/>
        <stp>##V3_BDHV12</stp>
        <stp>XOM US Equity</stp>
        <stp>ACQUIS_FXD_&amp;_INTANG_DETAILED</stp>
        <stp>FQ3 2002</stp>
        <stp>FQ3 2002</stp>
        <stp>[FA1_ivyerigx.xlsx]Cash Flow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4"/>
      </tp>
      <tp>
        <v>1533</v>
        <stp/>
        <stp>##V3_BDHV12</stp>
        <stp>XOM US Equity</stp>
        <stp>IS_TOT_CASH_COM_DVD</stp>
        <stp>FQ3 2000</stp>
        <stp>FQ3 2000</stp>
        <stp>[FA1_ivyerigx.xlsx]Income - Adjusted!R54C11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4" s="2"/>
      </tp>
      <tp>
        <v>0</v>
        <stp/>
        <stp>##V3_BDHV12</stp>
        <stp>XOM US Equity</stp>
        <stp>IS_TOT_CASH_PFD_DVD</stp>
        <stp>FQ4 2004</stp>
        <stp>FQ4 2004</stp>
        <stp>[FA1_ivyerigx.xlsx]Income - Adjusted!R25C28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2"/>
      </tp>
      <tp>
        <v>4268</v>
        <stp/>
        <stp>##V3_BDHV12</stp>
        <stp>XOM US Equity</stp>
        <stp>FREE_CASH_FLOW_EQUITY</stp>
        <stp>FQ3 2002</stp>
        <stp>FQ3 2002</stp>
        <stp>[FA1_ivyerigx.xlsx]Cash Flow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4"/>
      </tp>
      <tp>
        <v>0</v>
        <stp/>
        <stp>##V3_BDHV12</stp>
        <stp>XOM US Equity</stp>
        <stp>BS_PFD_EQTY_&amp;_HYBRID_CPTL</stp>
        <stp>FQ1 2000</stp>
        <stp>FQ1 2000</stp>
        <stp>[FA1_ivyerigx.xlsx]Bal Sheet - Standardized!R41C9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1" s="3"/>
      </tp>
      <tp>
        <v>0</v>
        <stp/>
        <stp>##V3_BDHV12</stp>
        <stp>XOM US Equity</stp>
        <stp>IS_TOT_CASH_PFD_DVD</stp>
        <stp>FQ3 2003</stp>
        <stp>FQ3 2003</stp>
        <stp>[FA1_ivyerigx.xlsx]Income - Adjusted!R25C23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2"/>
      </tp>
      <tp t="s">
        <v>—</v>
        <stp/>
        <stp>##V3_BDHV12</stp>
        <stp>XOM US Equity</stp>
        <stp>FREE_CASH_FLOW_EQUITY</stp>
        <stp>FQ1 2006</stp>
        <stp>FQ1 2006</stp>
        <stp>[FA1_ivyerigx.xlsx]Cash Flow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4"/>
      </tp>
      <tp>
        <v>0</v>
        <stp/>
        <stp>##V3_BDHV12</stp>
        <stp>XOM US Equity</stp>
        <stp>IS_TOT_CASH_PFD_DVD</stp>
        <stp>FQ3 2000</stp>
        <stp>FQ3 2000</stp>
        <stp>[FA1_ivyerigx.xlsx]Income - Adjusted!R25C11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2"/>
      </tp>
      <tp>
        <v>2918</v>
        <stp/>
        <stp>##V3_BDHV12</stp>
        <stp>XOM US Equity</stp>
        <stp>FREE_CASH_FLOW_EQUITY</stp>
        <stp>FQ3 2001</stp>
        <stp>FQ3 2001</stp>
        <stp>[FA1_ivyerigx.xlsx]Cash Flow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4"/>
      </tp>
      <tp>
        <v>34.718800000000002</v>
        <stp/>
        <stp>##V3_BDHV12</stp>
        <stp>XOM US Equity</stp>
        <stp>PX_LOW</stp>
        <stp>FQ4 1998</stp>
        <stp>FQ4 1998</stp>
        <stp>[FA1_ivyerigx.xlsx]Stock Value!R10C4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0" s="6"/>
      </tp>
      <tp>
        <v>0</v>
        <stp/>
        <stp>##V3_BDHV12</stp>
        <stp>XOM US Equity</stp>
        <stp>IS_TOT_CASH_PFD_DVD</stp>
        <stp>FQ2 2001</stp>
        <stp>FQ2 2001</stp>
        <stp>[FA1_ivyerigx.xlsx]Income - Adjusted!R25C14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2"/>
      </tp>
      <tp>
        <v>0</v>
        <stp/>
        <stp>##V3_BDHV12</stp>
        <stp>XOM US Equity</stp>
        <stp>IS_TOT_CASH_PFD_DVD</stp>
        <stp>FQ1 2002</stp>
        <stp>FQ1 2002</stp>
        <stp>[FA1_ivyerigx.xlsx]Income - Adjusted!R25C17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2"/>
      </tp>
      <tp>
        <v>12049</v>
        <stp/>
        <stp>##V3_BDHV12</stp>
        <stp>XOM US Equity</stp>
        <stp>FREE_CASH_FLOW_EQUITY</stp>
        <stp>FQ1 2007</stp>
        <stp>FQ1 2007</stp>
        <stp>[FA1_ivyerigx.xlsx]Cash Flow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4"/>
      </tp>
      <tp t="s">
        <v>—</v>
        <stp/>
        <stp>##V3_BDHV12</stp>
        <stp>XOM US Equity</stp>
        <stp>FREE_CASH_FLOW_EQUITY</stp>
        <stp>FQ3 2000</stp>
        <stp>FQ3 2000</stp>
        <stp>[FA1_ivyerigx.xlsx]Cash Flow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4"/>
      </tp>
      <tp>
        <v>0</v>
        <stp/>
        <stp>##V3_BDHV12</stp>
        <stp>XOM US Equity</stp>
        <stp>IS_TOT_CASH_PFD_DVD</stp>
        <stp>FQ4 2005</stp>
        <stp>FQ4 2005</stp>
        <stp>[FA1_ivyerigx.xlsx]Income - Adjusted!R25C32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2"/>
      </tp>
      <tp t="s">
        <v>—</v>
        <stp/>
        <stp>##V3_BDHV12</stp>
        <stp>XOM US Equity</stp>
        <stp>NUM_OF_EMPLOYEES</stp>
        <stp>FQ2 2005</stp>
        <stp>FQ2 2005</stp>
        <stp>[FA1_ivyerigx.xlsx]Bal Sheet - Standardized!R65C30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5" s="3"/>
      </tp>
      <tp t="s">
        <v>—</v>
        <stp/>
        <stp>##V3_BDHV12</stp>
        <stp>XOM US Equity</stp>
        <stp>NUM_OF_EMPLOYEES</stp>
        <stp>FQ3 2005</stp>
        <stp>FQ3 2005</stp>
        <stp>[FA1_ivyerigx.xlsx]Bal Sheet - Standardized!R65C31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5" s="3"/>
      </tp>
      <tp t="s">
        <v>—</v>
        <stp/>
        <stp>##V3_BDHV12</stp>
        <stp>XOM US Equity</stp>
        <stp>NUM_OF_EMPLOYEES</stp>
        <stp>FQ2 2001</stp>
        <stp>FQ2 2001</stp>
        <stp>[FA1_ivyerigx.xlsx]Bal Sheet - Standardized!R65C14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5" s="3"/>
      </tp>
      <tp t="s">
        <v>—</v>
        <stp/>
        <stp>##V3_BDHV12</stp>
        <stp>XOM US Equity</stp>
        <stp>NUM_OF_EMPLOYEES</stp>
        <stp>FQ3 2001</stp>
        <stp>FQ3 2001</stp>
        <stp>[FA1_ivyerigx.xlsx]Bal Sheet - Standardized!R65C15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5" s="3"/>
      </tp>
      <tp>
        <v>1.24</v>
        <stp/>
        <stp>##V3_BDHV12</stp>
        <stp>XOM US Equity</stp>
        <stp>IS_BASIC_EPS_CONT_OPS</stp>
        <stp>FQ2 2005</stp>
        <stp>FQ2 2005</stp>
        <stp>[FA1_ivyerigx.xlsx]Income - Adjusted!R36C30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6" s="2"/>
      </tp>
      <tp>
        <v>0.64</v>
        <stp/>
        <stp>##V3_BDHV12</stp>
        <stp>XOM US Equity</stp>
        <stp>IS_BASIC_EPS_CONT_OPS</stp>
        <stp>FQ2 2001</stp>
        <stp>FQ2 2001</stp>
        <stp>[FA1_ivyerigx.xlsx]Income - Adjusted!R36C14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6" s="2"/>
      </tp>
      <tp>
        <v>1.38</v>
        <stp/>
        <stp>##V3_BDHV12</stp>
        <stp>XOM US Equity</stp>
        <stp>IS_BASIC_EPS_CONT_OPS</stp>
        <stp>FQ1 2006</stp>
        <stp>FQ1 2006</stp>
        <stp>[FA1_ivyerigx.xlsx]Income - Adjusted!R36C33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6" s="2"/>
      </tp>
      <tp>
        <v>0.31</v>
        <stp/>
        <stp>##V3_BDHV12</stp>
        <stp>XOM US Equity</stp>
        <stp>IS_BASIC_EPS_CONT_OPS</stp>
        <stp>FQ1 2002</stp>
        <stp>FQ1 2002</stp>
        <stp>[FA1_ivyerigx.xlsx]Income - Adjusted!R36C17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6" s="2"/>
      </tp>
      <tp>
        <v>5620</v>
        <stp/>
        <stp>##V3_BDHV12</stp>
        <stp>XOM US Equity</stp>
        <stp>IS_SH_FOR_DILUTED_EPS</stp>
        <stp>FQ2 2007</stp>
        <stp>FQ2 2007</stp>
        <stp>[FA1_ivyerigx.xlsx]Income - Adjusted!R38C38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8" s="2"/>
      </tp>
      <tp>
        <v>1397.5</v>
        <stp/>
        <stp>##V3_BDHV12</stp>
        <stp>XOM US Equity</stp>
        <stp>EARN_FOR_COMMON</stp>
        <stp>FQ3 1998</stp>
        <stp>FQ3 1998</stp>
        <stp>[FA1_ivyerigx.xlsx]Income - Adjusted!R29C3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29" s="2"/>
      </tp>
      <tp>
        <v>1530</v>
        <stp/>
        <stp>##V3_BDHV12</stp>
        <stp>XOM US Equity</stp>
        <stp>EARN_FOR_COMMON</stp>
        <stp>FQ4 1998</stp>
        <stp>FQ4 1998</stp>
        <stp>[FA1_ivyerigx.xlsx]Income - Adjusted!R29C4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29" s="2"/>
      </tp>
      <tp>
        <v>20.979099999999999</v>
        <stp/>
        <stp>##V3_BDHV12</stp>
        <stp>XOM US Equity</stp>
        <stp>BOOK_VAL_PER_SH</stp>
        <stp>FQ2 2007</stp>
        <stp>FQ2 2007</stp>
        <stp>[FA1_ivyerigx.xlsx]Per Share!R26C38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6" s="5"/>
      </tp>
      <tp>
        <v>0.47499999999999998</v>
        <stp/>
        <stp>##V3_BDHV12</stp>
        <stp>XOM US Equity</stp>
        <stp>IS_DIL_EPS_CONT_OPS</stp>
        <stp>FQ1 2000</stp>
        <stp>FQ1 2000</stp>
        <stp>[FA1_ivyerigx.xlsx]Per Share!R19C9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9" s="5"/>
      </tp>
      <tp>
        <v>2037</v>
        <stp/>
        <stp>##V3_BDHV12</stp>
        <stp>XOM US Equity</stp>
        <stp>INC_DEC_IN_OT_OP_AST_LIAB_DETAIL</stp>
        <stp>FQ3 2003</stp>
        <stp>FQ3 2003</stp>
        <stp>[FA1_ivyerigx.xlsx]Cash Flow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4"/>
      </tp>
      <tp>
        <v>116058</v>
        <stp/>
        <stp>##V3_BDHV12</stp>
        <stp>XOM US Equity</stp>
        <stp>BS_NET_FIX_ASSET</stp>
        <stp>FQ2 2007</stp>
        <stp>FQ2 2007</stp>
        <stp>[FA1_ivyerigx.xlsx]Bal Sheet - Standardized!R19C38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9" s="3"/>
      </tp>
      <tp>
        <v>1132</v>
        <stp/>
        <stp>##V3_BDHV12</stp>
        <stp>XOM US Equity</stp>
        <stp>INC_DEC_IN_OT_OP_AST_LIAB_DETAIL</stp>
        <stp>FQ3 2004</stp>
        <stp>FQ3 2004</stp>
        <stp>[FA1_ivyerigx.xlsx]Cash Flow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4"/>
      </tp>
      <tp>
        <v>-2255</v>
        <stp/>
        <stp>##V3_BDHV12</stp>
        <stp>XOM US Equity</stp>
        <stp>INC_DEC_IN_OT_OP_AST_LIAB_DETAIL</stp>
        <stp>FQ2 2006</stp>
        <stp>FQ2 2006</stp>
        <stp>[FA1_ivyerigx.xlsx]Cash Flow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4"/>
      </tp>
      <tp>
        <v>-976</v>
        <stp/>
        <stp>##V3_BDHV12</stp>
        <stp>XOM US Equity</stp>
        <stp>INC_DEC_IN_OT_OP_AST_LIAB_DETAIL</stp>
        <stp>FQ2 2005</stp>
        <stp>FQ2 2005</stp>
        <stp>[FA1_ivyerigx.xlsx]Cash Flow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4"/>
      </tp>
      <tp>
        <v>106215</v>
        <stp/>
        <stp>##V3_BDHV12</stp>
        <stp>XOM US Equity</stp>
        <stp>BS_NET_FIX_ASSET</stp>
        <stp>FQ2 2005</stp>
        <stp>FQ2 2005</stp>
        <stp>[FA1_ivyerigx.xlsx]Bal Sheet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3"/>
      </tp>
      <tp t="s">
        <v>—</v>
        <stp/>
        <stp>##V3_BDHV12</stp>
        <stp>XOM US Equity</stp>
        <stp>BS_OPTIONS_OUTSTANDING</stp>
        <stp>FQ2 2001</stp>
        <stp>FQ2 2001</stp>
        <stp>[FA1_ivyerigx.xlsx]Bal Sheet - Standardized!R59C14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9" s="3"/>
      </tp>
      <tp t="s">
        <v>—</v>
        <stp/>
        <stp>##V3_BDHV12</stp>
        <stp>XOM US Equity</stp>
        <stp>BS_OPTIONS_OUTSTANDING</stp>
        <stp>FQ3 2001</stp>
        <stp>FQ3 2001</stp>
        <stp>[FA1_ivyerigx.xlsx]Bal Sheet - Standardized!R59C15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9" s="3"/>
      </tp>
      <tp>
        <v>101192</v>
        <stp/>
        <stp>##V3_BDHV12</stp>
        <stp>XOM US Equity</stp>
        <stp>BS_NET_FIX_ASSET</stp>
        <stp>FQ3 2003</stp>
        <stp>FQ3 2003</stp>
        <stp>[FA1_ivyerigx.xlsx]Bal Sheet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3"/>
      </tp>
      <tp>
        <v>111110</v>
        <stp/>
        <stp>##V3_BDHV12</stp>
        <stp>XOM US Equity</stp>
        <stp>BS_NET_FIX_ASSET</stp>
        <stp>FQ2 2006</stp>
        <stp>FQ2 2006</stp>
        <stp>[FA1_ivyerigx.xlsx]Bal Sheet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3"/>
      </tp>
      <tp>
        <v>104893</v>
        <stp/>
        <stp>##V3_BDHV12</stp>
        <stp>XOM US Equity</stp>
        <stp>BS_NET_FIX_ASSET</stp>
        <stp>FQ3 2004</stp>
        <stp>FQ3 2004</stp>
        <stp>[FA1_ivyerigx.xlsx]Bal Sheet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3"/>
      </tp>
      <tp t="s">
        <v>—</v>
        <stp/>
        <stp>##V3_BDHV12</stp>
        <stp>XOM US Equity</stp>
        <stp>BS_OPTIONS_OUTSTANDING</stp>
        <stp>FQ2 2005</stp>
        <stp>FQ2 2005</stp>
        <stp>[FA1_ivyerigx.xlsx]Bal Sheet - Standardized!R59C30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9" s="3"/>
      </tp>
      <tp t="s">
        <v>—</v>
        <stp/>
        <stp>##V3_BDHV12</stp>
        <stp>XOM US Equity</stp>
        <stp>BS_OPTIONS_OUTSTANDING</stp>
        <stp>FQ3 2005</stp>
        <stp>FQ3 2005</stp>
        <stp>[FA1_ivyerigx.xlsx]Bal Sheet - Standardized!R59C31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9" s="3"/>
      </tp>
      <tp>
        <v>-2209</v>
        <stp/>
        <stp>##V3_BDHV12</stp>
        <stp>XOM US Equity</stp>
        <stp>INC_DEC_IN_OT_OP_AST_LIAB_DETAIL</stp>
        <stp>FQ2 2007</stp>
        <stp>FQ2 2007</stp>
        <stp>[FA1_ivyerigx.xlsx]Cash Flow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4"/>
      </tp>
      <tp>
        <v>0.27</v>
        <stp/>
        <stp>##V3_BDHV12</stp>
        <stp>XOM US Equity</stp>
        <stp>EQY_DPS</stp>
        <stp>FQ1 2005</stp>
        <stp>FQ1 2005</stp>
        <stp>[FA1_ivyerigx.xlsx]Income - Adjusted!R53C29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3" s="2"/>
      </tp>
      <tp>
        <v>0.27</v>
        <stp/>
        <stp>##V3_BDHV12</stp>
        <stp>XOM US Equity</stp>
        <stp>EQY_DPS</stp>
        <stp>FQ4 2004</stp>
        <stp>FQ4 2004</stp>
        <stp>[FA1_ivyerigx.xlsx]Income - Adjusted!R53C28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3" s="2"/>
      </tp>
      <tp>
        <v>0</v>
        <stp/>
        <stp>##V3_BDHV12</stp>
        <stp>XOM US Equity</stp>
        <stp>BS_MKT_SEC_OTHER_ST_INVEST</stp>
        <stp>FQ1 2005</stp>
        <stp>FQ1 2005</stp>
        <stp>[FA1_ivyerigx.xlsx]Bal Sheet - Standardized!R9C29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9" s="3"/>
      </tp>
      <tp>
        <v>0</v>
        <stp/>
        <stp>##V3_BDHV12</stp>
        <stp>XOM US Equity</stp>
        <stp>BS_MKT_SEC_OTHER_ST_INVEST</stp>
        <stp>FQ4 2004</stp>
        <stp>FQ4 2004</stp>
        <stp>[FA1_ivyerigx.xlsx]Bal Sheet - Standardized!R9C28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9" s="3"/>
      </tp>
      <tp>
        <v>0</v>
        <stp/>
        <stp>##V3_BDHV12</stp>
        <stp>XOM US Equity</stp>
        <stp>BS_MKT_SEC_OTHER_ST_INVEST</stp>
        <stp>FQ4 2003</stp>
        <stp>FQ4 2003</stp>
        <stp>[FA1_ivyerigx.xlsx]Bal Sheet - Standardized!R9C24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9" s="3"/>
      </tp>
      <tp>
        <v>0</v>
        <stp/>
        <stp>##V3_BDHV12</stp>
        <stp>XOM US Equity</stp>
        <stp>BS_MKT_SEC_OTHER_ST_INVEST</stp>
        <stp>FQ2 2003</stp>
        <stp>FQ2 2003</stp>
        <stp>[FA1_ivyerigx.xlsx]Bal Sheet - Standardized!R9C22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9" s="3"/>
      </tp>
      <tp>
        <v>0</v>
        <stp/>
        <stp>##V3_BDHV12</stp>
        <stp>XOM US Equity</stp>
        <stp>BS_MKT_SEC_OTHER_ST_INVEST</stp>
        <stp>FQ3 2003</stp>
        <stp>FQ3 2003</stp>
        <stp>[FA1_ivyerigx.xlsx]Bal Sheet - Standardized!R9C23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9" s="3"/>
      </tp>
      <tp>
        <v>0</v>
        <stp/>
        <stp>##V3_BDHV12</stp>
        <stp>XOM US Equity</stp>
        <stp>BS_MKT_SEC_OTHER_ST_INVEST</stp>
        <stp>FQ1 2003</stp>
        <stp>FQ1 2003</stp>
        <stp>[FA1_ivyerigx.xlsx]Bal Sheet - Standardized!R9C21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9" s="3"/>
      </tp>
      <tp>
        <v>1.3298000000000001</v>
        <stp/>
        <stp>##V3_BDHV12</stp>
        <stp>XOM US Equity</stp>
        <stp>CASH_FLOW_PER_SH</stp>
        <stp>FQ2 2004</stp>
        <stp>FQ2 2004</stp>
        <stp>[FA1_ivyerigx.xlsx]Per Share!R22C26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2" s="5"/>
      </tp>
      <tp>
        <v>1.8917999999999999</v>
        <stp/>
        <stp>##V3_BDHV12</stp>
        <stp>XOM US Equity</stp>
        <stp>CASH_FLOW_PER_SH</stp>
        <stp>FQ2 2006</stp>
        <stp>FQ2 2006</stp>
        <stp>[FA1_ivyerigx.xlsx]Per Share!R22C34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2" s="5"/>
      </tp>
      <tp>
        <v>1.2937000000000001</v>
        <stp/>
        <stp>##V3_BDHV12</stp>
        <stp>XOM US Equity</stp>
        <stp>CASH_FLOW_PER_SH</stp>
        <stp>FQ1 2003</stp>
        <stp>FQ1 2003</stp>
        <stp>[FA1_ivyerigx.xlsx]Per Share!R22C21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2" s="5"/>
      </tp>
      <tp>
        <v>1.2629000000000001</v>
        <stp/>
        <stp>##V3_BDHV12</stp>
        <stp>XOM US Equity</stp>
        <stp>CASH_FLOW_PER_SH</stp>
        <stp>FQ1 2001</stp>
        <stp>FQ1 2001</stp>
        <stp>[FA1_ivyerigx.xlsx]Per Share!R22C13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2" s="5"/>
      </tp>
      <tp>
        <v>0.75670000000000004</v>
        <stp/>
        <stp>##V3_BDHV12</stp>
        <stp>XOM US Equity</stp>
        <stp>CASH_FLOW_PER_SH</stp>
        <stp>FQ4 2002</stp>
        <stp>FQ4 2002</stp>
        <stp>[FA1_ivyerigx.xlsx]Per Share!R22C20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2" s="5"/>
      </tp>
      <tp>
        <v>0.87560000000000004</v>
        <stp/>
        <stp>##V3_BDHV12</stp>
        <stp>XOM US Equity</stp>
        <stp>CASH_FLOW_PER_SH</stp>
        <stp>FQ4 2000</stp>
        <stp>FQ4 2000</stp>
        <stp>[FA1_ivyerigx.xlsx]Per Share!R22C12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2" s="5"/>
      </tp>
      <tp>
        <v>49.420299999999997</v>
        <stp/>
        <stp>##V3_BDHV12</stp>
        <stp>XOM US Equity</stp>
        <stp>TCE_RATIO</stp>
        <stp>FQ2 2001</stp>
        <stp>FQ2 2001</stp>
        <stp>[FA1_ivyerigx.xlsx]Bal Sheet - Standardized!R62C14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2" s="3"/>
      </tp>
      <tp>
        <v>49.914099999999998</v>
        <stp/>
        <stp>##V3_BDHV12</stp>
        <stp>XOM US Equity</stp>
        <stp>TCE_RATIO</stp>
        <stp>FQ3 2001</stp>
        <stp>FQ3 2001</stp>
        <stp>[FA1_ivyerigx.xlsx]Bal Sheet - Standardized!R62C15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2" s="3"/>
      </tp>
      <tp>
        <v>0</v>
        <stp/>
        <stp>##V3_BDHV12</stp>
        <stp>XOM US Equity</stp>
        <stp>BS_MKT_SEC_OTHER_ST_INVEST</stp>
        <stp>FQ1 2004</stp>
        <stp>FQ1 2004</stp>
        <stp>[FA1_ivyerigx.xlsx]Bal Sheet - Standardized!R9C25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9" s="3"/>
      </tp>
      <tp>
        <v>0</v>
        <stp/>
        <stp>##V3_BDHV12</stp>
        <stp>XOM US Equity</stp>
        <stp>BS_MKT_SEC_OTHER_ST_INVEST</stp>
        <stp>FQ3 2004</stp>
        <stp>FQ3 2004</stp>
        <stp>[FA1_ivyerigx.xlsx]Bal Sheet - Standardized!R9C27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9" s="3"/>
      </tp>
      <tp>
        <v>0</v>
        <stp/>
        <stp>##V3_BDHV12</stp>
        <stp>XOM US Equity</stp>
        <stp>BS_MKT_SEC_OTHER_ST_INVEST</stp>
        <stp>FQ2 2004</stp>
        <stp>FQ2 2004</stp>
        <stp>[FA1_ivyerigx.xlsx]Bal Sheet - Standardized!R9C26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9" s="3"/>
      </tp>
      <tp>
        <v>0</v>
        <stp/>
        <stp>##V3_BDHV12</stp>
        <stp>XOM US Equity</stp>
        <stp>BS_MKT_SEC_OTHER_ST_INVEST</stp>
        <stp>FQ4 2002</stp>
        <stp>FQ4 2002</stp>
        <stp>[FA1_ivyerigx.xlsx]Bal Sheet - Standardized!R9C20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9" s="3"/>
      </tp>
      <tp>
        <v>51.827399999999997</v>
        <stp/>
        <stp>##V3_BDHV12</stp>
        <stp>XOM US Equity</stp>
        <stp>TCE_RATIO</stp>
        <stp>FQ2 2005</stp>
        <stp>FQ2 2005</stp>
        <stp>[FA1_ivyerigx.xlsx]Bal Sheet - Standardized!R62C30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2" s="3"/>
      </tp>
      <tp>
        <v>51.444499999999998</v>
        <stp/>
        <stp>##V3_BDHV12</stp>
        <stp>XOM US Equity</stp>
        <stp>TCE_RATIO</stp>
        <stp>FQ3 2005</stp>
        <stp>FQ3 2005</stp>
        <stp>[FA1_ivyerigx.xlsx]Bal Sheet - Standardized!R62C31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2" s="3"/>
      </tp>
      <tp>
        <v>-2610</v>
        <stp/>
        <stp>##V3_BDHV12</stp>
        <stp>XOM US Equity</stp>
        <stp>ACQUIS_FXD_&amp;_INTANG_DETAILED</stp>
        <stp>FQ4 2000</stp>
        <stp>FQ4 2000</stp>
        <stp>[FA1_ivyerigx.xlsx]Cash Flow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4"/>
      </tp>
      <tp>
        <v>-3126</v>
        <stp/>
        <stp>##V3_BDHV12</stp>
        <stp>XOM US Equity</stp>
        <stp>ACQUIS_FXD_&amp;_INTANG_DETAILED</stp>
        <stp>FQ4 2001</stp>
        <stp>FQ4 2001</stp>
        <stp>[FA1_ivyerigx.xlsx]Cash Flow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4"/>
      </tp>
      <tp t="s">
        <v>—</v>
        <stp/>
        <stp>##V3_BDHV12</stp>
        <stp>XOM US Equity</stp>
        <stp>CF_TAX_BENEFIT_FRM_STOCK_OPTIONS</stp>
        <stp>FQ4 1999</stp>
        <stp>FQ4 1999</stp>
        <stp>[FA1_ivyerigx.xlsx]Cash Flow - Standardized!R45C8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5" s="4"/>
      </tp>
      <tp>
        <v>1809.89</v>
        <stp/>
        <stp>##V3_BDHV12</stp>
        <stp>XOM US Equity</stp>
        <stp>IS_TOT_CASH_COM_DVD</stp>
        <stp>FQ3 2005</stp>
        <stp>FQ3 2005</stp>
        <stp>[FA1_ivyerigx.xlsx]Income - Adjusted!R54C31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4" s="2"/>
      </tp>
      <tp t="s">
        <v>—</v>
        <stp/>
        <stp>##V3_BDHV12</stp>
        <stp>XOM US Equity</stp>
        <stp>CF_TAX_BENEFIT_FRM_STOCK_OPTIONS</stp>
        <stp>FQ4 1998</stp>
        <stp>FQ4 1998</stp>
        <stp>[FA1_ivyerigx.xlsx]Cash Flow - Standardized!R45C4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5" s="4"/>
      </tp>
      <tp t="s">
        <v>—</v>
        <stp/>
        <stp>##V3_BDHV12</stp>
        <stp>XOM US Equity</stp>
        <stp>CF_TAX_BENEFIT_FRM_STOCK_OPTIONS</stp>
        <stp>FQ3 1998</stp>
        <stp>FQ3 1998</stp>
        <stp>[FA1_ivyerigx.xlsx]Cash Flow - Standardized!R45C3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5" s="4"/>
      </tp>
      <tp>
        <v>1649</v>
        <stp/>
        <stp>##V3_BDHV12</stp>
        <stp>XOM US Equity</stp>
        <stp>IS_TOT_CASH_COM_DVD</stp>
        <stp>FQ4 2003</stp>
        <stp>FQ4 2003</stp>
        <stp>[FA1_ivyerigx.xlsx]Income - Adjusted!R54C24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4" s="2"/>
      </tp>
      <tp>
        <v>1808</v>
        <stp/>
        <stp>##V3_BDHV12</stp>
        <stp>XOM US Equity</stp>
        <stp>IS_TOT_CASH_COM_DVD</stp>
        <stp>FQ1 2007</stp>
        <stp>FQ1 2007</stp>
        <stp>[FA1_ivyerigx.xlsx]Income - Adjusted!R54C37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4" s="2"/>
      </tp>
      <tp>
        <v>-3979</v>
        <stp/>
        <stp>##V3_BDHV12</stp>
        <stp>XOM US Equity</stp>
        <stp>ACQUIS_FXD_&amp;_INTANG_DETAILED</stp>
        <stp>FQ1 2008</stp>
        <stp>FQ1 2008</stp>
        <stp>[FA1_ivyerigx.xlsx]Cash Flow - Standardized!R20C41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4"/>
      </tp>
      <tp>
        <v>1527</v>
        <stp/>
        <stp>##V3_BDHV12</stp>
        <stp>XOM US Equity</stp>
        <stp>IS_TOT_CASH_COM_DVD</stp>
        <stp>FQ4 2000</stp>
        <stp>FQ4 2000</stp>
        <stp>[FA1_ivyerigx.xlsx]Income - Adjusted!R54C12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4" s="2"/>
      </tp>
      <tp t="s">
        <v>—</v>
        <stp/>
        <stp>##V3_BDHV12</stp>
        <stp>XOM US Equity</stp>
        <stp>CF_TAX_BENEFIT_FRM_STOCK_OPTIONS</stp>
        <stp>FQ3 1999</stp>
        <stp>FQ3 1999</stp>
        <stp>[FA1_ivyerigx.xlsx]Cash Flow - Standardized!R45C7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5" s="4"/>
      </tp>
      <tp t="s">
        <v>—</v>
        <stp/>
        <stp>##V3_BDHV12</stp>
        <stp>XOM US Equity</stp>
        <stp>CF_TAX_BENEFIT_FRM_STOCK_OPTIONS</stp>
        <stp>FQ2 1999</stp>
        <stp>FQ2 1999</stp>
        <stp>[FA1_ivyerigx.xlsx]Cash Flow - Standardized!R45C6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5" s="4"/>
      </tp>
      <tp t="s">
        <v>—</v>
        <stp/>
        <stp>##V3_BDHV12</stp>
        <stp>XOM US Equity</stp>
        <stp>CF_TAX_BENEFIT_FRM_STOCK_OPTIONS</stp>
        <stp>FQ1 1999</stp>
        <stp>FQ1 1999</stp>
        <stp>[FA1_ivyerigx.xlsx]Cash Flow - Standardized!R45C5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5" s="4"/>
      </tp>
      <tp>
        <v>1753</v>
        <stp/>
        <stp>##V3_BDHV12</stp>
        <stp>XOM US Equity</stp>
        <stp>IS_TOT_CASH_COM_DVD</stp>
        <stp>FQ3 2004</stp>
        <stp>FQ3 2004</stp>
        <stp>[FA1_ivyerigx.xlsx]Income - Adjusted!R54C27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4" s="2"/>
      </tp>
      <tp>
        <v>-1052</v>
        <stp/>
        <stp>##V3_BDHV12</stp>
        <stp>XOM US Equity</stp>
        <stp>PROC_FR_REPURCH_EQTY_DETAILED</stp>
        <stp>FQ2 2002</stp>
        <stp>FQ2 2002</stp>
        <stp>[FA1_ivyerigx.xlsx]Cash Flow - Standardized!R30C18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4"/>
      </tp>
      <tp>
        <v>9675</v>
        <stp/>
        <stp>##V3_BDHV12</stp>
        <stp>XOM US Equity</stp>
        <stp>GROSS_PROFIT</stp>
        <stp>FQ3 1998</stp>
        <stp>FQ3 1998</stp>
        <stp>[FA1_ivyerigx.xlsx]Income - Adjusted!R8C3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2"/>
      </tp>
      <tp>
        <v>18033</v>
        <stp/>
        <stp>##V3_BDHV12</stp>
        <stp>XOM US Equity</stp>
        <stp>FREE_CASH_FLOW_EQUITY</stp>
        <stp>FQ1 2008</stp>
        <stp>FQ1 2008</stp>
        <stp>[FA1_ivyerigx.xlsx]Cash Flow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4"/>
      </tp>
      <tp>
        <v>-3087</v>
        <stp/>
        <stp>##V3_BDHV12</stp>
        <stp>XOM US Equity</stp>
        <stp>PROC_FR_REPURCH_EQTY_DETAILED</stp>
        <stp>FQ1 2005</stp>
        <stp>FQ1 2005</stp>
        <stp>[FA1_ivyerigx.xlsx]Cash Flow - Standardized!R30C29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4"/>
      </tp>
      <tp t="s">
        <v>—</v>
        <stp/>
        <stp>##V3_BDHV12</stp>
        <stp>XOM US Equity</stp>
        <stp>GROSS_PROFIT</stp>
        <stp>FQ4 1998</stp>
        <stp>FQ4 1998</stp>
        <stp>[FA1_ivyerigx.xlsx]Income - Adjusted!R8C4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2"/>
      </tp>
      <tp>
        <v>0</v>
        <stp/>
        <stp>##V3_BDHV12</stp>
        <stp>XOM US Equity</stp>
        <stp>IS_TOT_CASH_PFD_DVD</stp>
        <stp>FQ1 2007</stp>
        <stp>FQ1 2007</stp>
        <stp>[FA1_ivyerigx.xlsx]Income - Adjusted!R25C37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2"/>
      </tp>
      <tp>
        <v>-1745</v>
        <stp/>
        <stp>##V3_BDHV12</stp>
        <stp>XOM US Equity</stp>
        <stp>PROC_FR_REPURCH_EQTY_DETAILED</stp>
        <stp>FQ1 2004</stp>
        <stp>FQ1 2004</stp>
        <stp>[FA1_ivyerigx.xlsx]Cash Flow - Standardized!R30C25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4"/>
      </tp>
      <tp>
        <v>0</v>
        <stp/>
        <stp>##V3_BDHV12</stp>
        <stp>XOM US Equity</stp>
        <stp>IS_TOT_CASH_PFD_DVD</stp>
        <stp>FQ4 2000</stp>
        <stp>FQ4 2000</stp>
        <stp>[FA1_ivyerigx.xlsx]Income - Adjusted!R25C12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2"/>
      </tp>
      <tp>
        <v>-1155</v>
        <stp/>
        <stp>##V3_BDHV12</stp>
        <stp>XOM US Equity</stp>
        <stp>PROC_FR_REPURCH_EQTY_DETAILED</stp>
        <stp>FQ1 2003</stp>
        <stp>FQ1 2003</stp>
        <stp>[FA1_ivyerigx.xlsx]Cash Flow - Standardized!R30C21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4"/>
      </tp>
      <tp t="s">
        <v>—</v>
        <stp/>
        <stp>##V3_BDHV12</stp>
        <stp>XOM US Equity</stp>
        <stp>FREE_CASH_FLOW_EQUITY</stp>
        <stp>FQ4 2000</stp>
        <stp>FQ4 2000</stp>
        <stp>[FA1_ivyerigx.xlsx]Cash Flow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4"/>
      </tp>
      <tp>
        <v>0</v>
        <stp/>
        <stp>##V3_BDHV12</stp>
        <stp>XOM US Equity</stp>
        <stp>IS_TOT_CASH_PFD_DVD</stp>
        <stp>FQ3 2004</stp>
        <stp>FQ3 2004</stp>
        <stp>[FA1_ivyerigx.xlsx]Income - Adjusted!R25C27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2"/>
      </tp>
      <tp>
        <v>86</v>
        <stp/>
        <stp>##V3_BDHV12</stp>
        <stp>XOM US Equity</stp>
        <stp>PROC_FR_REPURCH_EQTY_DETAILED</stp>
        <stp>FQ2 2000</stp>
        <stp>FQ2 2000</stp>
        <stp>[FA1_ivyerigx.xlsx]Cash Flow - Standardized!R30C10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4"/>
      </tp>
      <tp>
        <v>0</v>
        <stp/>
        <stp>##V3_BDHV12</stp>
        <stp>XOM US Equity</stp>
        <stp>IS_TOT_CASH_PFD_DVD</stp>
        <stp>FQ3 2005</stp>
        <stp>FQ3 2005</stp>
        <stp>[FA1_ivyerigx.xlsx]Income - Adjusted!R25C31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2"/>
      </tp>
      <tp>
        <v>31</v>
        <stp/>
        <stp>##V3_BDHV12</stp>
        <stp>XOM US Equity</stp>
        <stp>PX_LOW</stp>
        <stp>FQ3 1998</stp>
        <stp>FQ3 1998</stp>
        <stp>[FA1_ivyerigx.xlsx]Stock Value!R10C3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0" s="6"/>
      </tp>
      <tp>
        <v>-1406</v>
        <stp/>
        <stp>##V3_BDHV12</stp>
        <stp>XOM US Equity</stp>
        <stp>PROC_FR_REPURCH_EQTY_DETAILED</stp>
        <stp>FQ2 2001</stp>
        <stp>FQ2 2001</stp>
        <stp>[FA1_ivyerigx.xlsx]Cash Flow - Standardized!R30C14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4"/>
      </tp>
      <tp>
        <v>34.9375</v>
        <stp/>
        <stp>##V3_BDHV12</stp>
        <stp>XOM US Equity</stp>
        <stp>PX_LOW</stp>
        <stp>FQ1 2000</stp>
        <stp>FQ1 2000</stp>
        <stp>[FA1_ivyerigx.xlsx]Stock Value!R10C9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0" s="6"/>
      </tp>
      <tp>
        <v>0</v>
        <stp/>
        <stp>##V3_BDHV12</stp>
        <stp>XOM US Equity</stp>
        <stp>IS_TOT_CASH_PFD_DVD</stp>
        <stp>FQ4 2003</stp>
        <stp>FQ4 2003</stp>
        <stp>[FA1_ivyerigx.xlsx]Income - Adjusted!R25C24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2"/>
      </tp>
      <tp>
        <v>54</v>
        <stp/>
        <stp>##V3_BDHV12</stp>
        <stp>XOM US Equity</stp>
        <stp>FREE_CASH_FLOW_EQUITY</stp>
        <stp>FQ4 2001</stp>
        <stp>FQ4 2001</stp>
        <stp>[FA1_ivyerigx.xlsx]Cash Flow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4"/>
      </tp>
      <tp>
        <v>0.315</v>
        <stp/>
        <stp>##V3_BDHV12</stp>
        <stp>XOM US Equity</stp>
        <stp>IS_EPS</stp>
        <stp>FQ4 1998</stp>
        <stp>FQ4 1998</stp>
        <stp>[FA1_ivyerigx.xlsx]Per Share!R14C4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4" s="5"/>
      </tp>
      <tp>
        <v>0.28999999999999998</v>
        <stp/>
        <stp>##V3_BDHV12</stp>
        <stp>XOM US Equity</stp>
        <stp>IS_EPS</stp>
        <stp>FQ3 1998</stp>
        <stp>FQ3 1998</stp>
        <stp>[FA1_ivyerigx.xlsx]Per Share!R14C3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4" s="5"/>
      </tp>
      <tp t="s">
        <v>—</v>
        <stp/>
        <stp>##V3_BDHV12</stp>
        <stp>XOM US Equity</stp>
        <stp>NUM_OF_EMPLOYEES</stp>
        <stp>FQ1 2004</stp>
        <stp>FQ1 2004</stp>
        <stp>[FA1_ivyerigx.xlsx]Bal Sheet - Standardized!R65C25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5" s="3"/>
      </tp>
      <tp t="s">
        <v>—</v>
        <stp/>
        <stp>##V3_BDHV12</stp>
        <stp>XOM US Equity</stp>
        <stp>NUM_OF_EMPLOYEES</stp>
        <stp>FQ3 2004</stp>
        <stp>FQ3 2004</stp>
        <stp>[FA1_ivyerigx.xlsx]Bal Sheet - Standardized!R65C27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5" s="3"/>
      </tp>
      <tp t="s">
        <v>—</v>
        <stp/>
        <stp>##V3_BDHV12</stp>
        <stp>XOM US Equity</stp>
        <stp>NUM_OF_EMPLOYEES</stp>
        <stp>FQ2 2004</stp>
        <stp>FQ2 2004</stp>
        <stp>[FA1_ivyerigx.xlsx]Bal Sheet - Standardized!R65C26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5" s="3"/>
      </tp>
      <tp t="s">
        <v>—</v>
        <stp/>
        <stp>##V3_BDHV12</stp>
        <stp>XOM US Equity</stp>
        <stp>NUM_OF_EMPLOYEES</stp>
        <stp>FQ2 2006</stp>
        <stp>FQ2 2006</stp>
        <stp>[FA1_ivyerigx.xlsx]Bal Sheet - Standardized!R65C34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5" s="3"/>
      </tp>
      <tp t="s">
        <v>—</v>
        <stp/>
        <stp>##V3_BDHV12</stp>
        <stp>XOM US Equity</stp>
        <stp>NUM_OF_EMPLOYEES</stp>
        <stp>FQ3 2006</stp>
        <stp>FQ3 2006</stp>
        <stp>[FA1_ivyerigx.xlsx]Bal Sheet - Standardized!R65C35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5" s="3"/>
      </tp>
      <tp>
        <v>0.89</v>
        <stp/>
        <stp>##V3_BDHV12</stp>
        <stp>XOM US Equity</stp>
        <stp>IS_BASIC_EPS_CONT_OPS</stp>
        <stp>FQ2 2004</stp>
        <stp>FQ2 2004</stp>
        <stp>[FA1_ivyerigx.xlsx]Income - Adjusted!R36C26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6" s="2"/>
      </tp>
      <tp>
        <v>1.74</v>
        <stp/>
        <stp>##V3_BDHV12</stp>
        <stp>XOM US Equity</stp>
        <stp>IS_BASIC_EPS_CONT_OPS</stp>
        <stp>FQ2 2006</stp>
        <stp>FQ2 2006</stp>
        <stp>[FA1_ivyerigx.xlsx]Income - Adjusted!R36C34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6" s="2"/>
      </tp>
      <tp>
        <v>0.71699999999999997</v>
        <stp/>
        <stp>##V3_BDHV12</stp>
        <stp>XOM US Equity</stp>
        <stp>IS_BASIC_EPS_CONT_OPS</stp>
        <stp>FQ1 2003</stp>
        <stp>FQ1 2003</stp>
        <stp>[FA1_ivyerigx.xlsx]Income - Adjusted!R36C21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6" s="2"/>
      </tp>
      <tp>
        <v>0.72</v>
        <stp/>
        <stp>##V3_BDHV12</stp>
        <stp>XOM US Equity</stp>
        <stp>IS_BASIC_EPS_CONT_OPS</stp>
        <stp>FQ1 2001</stp>
        <stp>FQ1 2001</stp>
        <stp>[FA1_ivyerigx.xlsx]Income - Adjusted!R36C13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6" s="2"/>
      </tp>
      <tp>
        <v>0.56000000000000005</v>
        <stp/>
        <stp>##V3_BDHV12</stp>
        <stp>XOM US Equity</stp>
        <stp>IS_BASIC_EPS_CONT_OPS</stp>
        <stp>FQ4 2002</stp>
        <stp>FQ4 2002</stp>
        <stp>[FA1_ivyerigx.xlsx]Income - Adjusted!R36C20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6" s="2"/>
      </tp>
      <tp>
        <v>0.745</v>
        <stp/>
        <stp>##V3_BDHV12</stp>
        <stp>XOM US Equity</stp>
        <stp>IS_BASIC_EPS_CONT_OPS</stp>
        <stp>FQ4 2000</stp>
        <stp>FQ4 2000</stp>
        <stp>[FA1_ivyerigx.xlsx]Income - Adjusted!R36C12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6" s="2"/>
      </tp>
      <tp>
        <v>-3811</v>
        <stp/>
        <stp>##V3_BDHV12</stp>
        <stp>XOM US Equity</stp>
        <stp>OTHER_INS_RES_TO_SHRHLDR_EQY</stp>
        <stp>FQ1 2000</stp>
        <stp>FQ1 2000</stp>
        <stp>[FA1_ivyerigx.xlsx]Bal Sheet - Standardized!R45C9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5" s="3"/>
      </tp>
      <tp>
        <v>1678</v>
        <stp/>
        <stp>##V3_BDHV12</stp>
        <stp>XOM US Equity</stp>
        <stp>INC_DEC_IN_OT_OP_AST_LIAB_DETAIL</stp>
        <stp>FQ1 2001</stp>
        <stp>FQ1 2001</stp>
        <stp>[FA1_ivyerigx.xlsx]Cash Flow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4"/>
      </tp>
      <tp>
        <v>542</v>
        <stp/>
        <stp>##V3_BDHV12</stp>
        <stp>XOM US Equity</stp>
        <stp>INC_DEC_IN_OT_OP_AST_LIAB_DETAIL</stp>
        <stp>FQ2 2003</stp>
        <stp>FQ2 2003</stp>
        <stp>[FA1_ivyerigx.xlsx]Cash Flow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4"/>
      </tp>
      <tp>
        <v>-144</v>
        <stp/>
        <stp>##V3_BDHV12</stp>
        <stp>XOM US Equity</stp>
        <stp>INC_DEC_IN_OT_OP_AST_LIAB_DETAIL</stp>
        <stp>FQ4 2007</stp>
        <stp>FQ4 2007</stp>
        <stp>[FA1_ivyerigx.xlsx]Cash Flow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4"/>
      </tp>
      <tp>
        <v>119102</v>
        <stp/>
        <stp>##V3_BDHV12</stp>
        <stp>XOM US Equity</stp>
        <stp>BS_NET_FIX_ASSET</stp>
        <stp>FQ3 2007</stp>
        <stp>FQ3 2007</stp>
        <stp>[FA1_ivyerigx.xlsx]Bal Sheet - Standardized!R19C39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9" s="3"/>
      </tp>
      <tp>
        <v>650</v>
        <stp/>
        <stp>##V3_BDHV12</stp>
        <stp>XOM US Equity</stp>
        <stp>INC_DEC_IN_OT_OP_AST_LIAB_DETAIL</stp>
        <stp>FQ2 2004</stp>
        <stp>FQ2 2004</stp>
        <stp>[FA1_ivyerigx.xlsx]Cash Flow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4"/>
      </tp>
      <tp>
        <v>2834</v>
        <stp/>
        <stp>##V3_BDHV12</stp>
        <stp>XOM US Equity</stp>
        <stp>INC_DEC_IN_OT_OP_AST_LIAB_DETAIL</stp>
        <stp>FQ3 2006</stp>
        <stp>FQ3 2006</stp>
        <stp>[FA1_ivyerigx.xlsx]Cash Flow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4"/>
      </tp>
      <tp>
        <v>3653</v>
        <stp/>
        <stp>##V3_BDHV12</stp>
        <stp>XOM US Equity</stp>
        <stp>INC_DEC_IN_OT_OP_AST_LIAB_DETAIL</stp>
        <stp>FQ3 2005</stp>
        <stp>FQ3 2005</stp>
        <stp>[FA1_ivyerigx.xlsx]Cash Flow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4"/>
      </tp>
      <tp>
        <v>872</v>
        <stp/>
        <stp>##V3_BDHV12</stp>
        <stp>XOM US Equity</stp>
        <stp>INC_DEC_IN_OT_OP_AST_LIAB_DETAIL</stp>
        <stp>FQ1 2002</stp>
        <stp>FQ1 2002</stp>
        <stp>[FA1_ivyerigx.xlsx]Cash Flow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4"/>
      </tp>
      <tp>
        <v>107094</v>
        <stp/>
        <stp>##V3_BDHV12</stp>
        <stp>XOM US Equity</stp>
        <stp>BS_NET_FIX_ASSET</stp>
        <stp>FQ3 2005</stp>
        <stp>FQ3 2005</stp>
        <stp>[FA1_ivyerigx.xlsx]Bal Sheet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3"/>
      </tp>
      <tp>
        <v>246.995</v>
        <stp/>
        <stp>##V3_BDHV12</stp>
        <stp>XOM US Equity</stp>
        <stp>BS_OPTIONS_OUTSTANDING</stp>
        <stp>FQ4 2002</stp>
        <stp>FQ4 2002</stp>
        <stp>[FA1_ivyerigx.xlsx]Bal Sheet - Standardized!R59C20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9" s="3"/>
      </tp>
      <tp>
        <v>89253</v>
        <stp/>
        <stp>##V3_BDHV12</stp>
        <stp>XOM US Equity</stp>
        <stp>BS_NET_FIX_ASSET</stp>
        <stp>FQ1 2002</stp>
        <stp>FQ1 2002</stp>
        <stp>[FA1_ivyerigx.xlsx]Bal Sheet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3"/>
      </tp>
      <tp>
        <v>248.68</v>
        <stp/>
        <stp>##V3_BDHV12</stp>
        <stp>XOM US Equity</stp>
        <stp>BS_OPTIONS_OUTSTANDING</stp>
        <stp>FQ4 2000</stp>
        <stp>FQ4 2000</stp>
        <stp>[FA1_ivyerigx.xlsx]Bal Sheet - Standardized!R59C12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9" s="3"/>
      </tp>
      <tp>
        <v>99500</v>
        <stp/>
        <stp>##V3_BDHV12</stp>
        <stp>XOM US Equity</stp>
        <stp>BS_NET_FIX_ASSET</stp>
        <stp>FQ2 2003</stp>
        <stp>FQ2 2003</stp>
        <stp>[FA1_ivyerigx.xlsx]Bal Sheet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3"/>
      </tp>
      <tp>
        <v>88006</v>
        <stp/>
        <stp>##V3_BDHV12</stp>
        <stp>XOM US Equity</stp>
        <stp>BS_NET_FIX_ASSET</stp>
        <stp>FQ1 2001</stp>
        <stp>FQ1 2001</stp>
        <stp>[FA1_ivyerigx.xlsx]Bal Sheet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3"/>
      </tp>
      <tp>
        <v>120869</v>
        <stp/>
        <stp>##V3_BDHV12</stp>
        <stp>XOM US Equity</stp>
        <stp>BS_NET_FIX_ASSET</stp>
        <stp>FQ4 2007</stp>
        <stp>FQ4 2007</stp>
        <stp>[FA1_ivyerigx.xlsx]Bal Sheet - Standardized!R19C40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9" s="3"/>
      </tp>
      <tp>
        <v>111722</v>
        <stp/>
        <stp>##V3_BDHV12</stp>
        <stp>XOM US Equity</stp>
        <stp>BS_NET_FIX_ASSET</stp>
        <stp>FQ3 2006</stp>
        <stp>FQ3 2006</stp>
        <stp>[FA1_ivyerigx.xlsx]Bal Sheet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3"/>
      </tp>
      <tp>
        <v>103854</v>
        <stp/>
        <stp>##V3_BDHV12</stp>
        <stp>XOM US Equity</stp>
        <stp>BS_NET_FIX_ASSET</stp>
        <stp>FQ2 2004</stp>
        <stp>FQ2 2004</stp>
        <stp>[FA1_ivyerigx.xlsx]Bal Sheet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3"/>
      </tp>
      <tp>
        <v>1649</v>
        <stp/>
        <stp>##V3_BDHV12</stp>
        <stp>XOM US Equity</stp>
        <stp>INC_DEC_IN_OT_OP_AST_LIAB_DETAIL</stp>
        <stp>FQ3 2007</stp>
        <stp>FQ3 2007</stp>
        <stp>[FA1_ivyerigx.xlsx]Cash Flow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4"/>
      </tp>
      <tp>
        <v>0</v>
        <stp/>
        <stp>##V3_BDHV12</stp>
        <stp>XOM US Equity</stp>
        <stp>BS_MKT_SEC_OTHER_ST_INVEST</stp>
        <stp>FQ2 2007</stp>
        <stp>FQ2 2007</stp>
        <stp>[FA1_ivyerigx.xlsx]Bal Sheet - Standardized!R9C38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9" s="3"/>
      </tp>
      <tp>
        <v>190</v>
        <stp/>
        <stp>##V3_BDHV12</stp>
        <stp>XOM US Equity</stp>
        <stp>BS_MKT_SEC_OTHER_ST_INVEST</stp>
        <stp>FQ3 2007</stp>
        <stp>FQ3 2007</stp>
        <stp>[FA1_ivyerigx.xlsx]Bal Sheet - Standardized!R9C39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9" s="3"/>
      </tp>
      <tp>
        <v>48.869900000000001</v>
        <stp/>
        <stp>##V3_BDHV12</stp>
        <stp>XOM US Equity</stp>
        <stp>TCE_RATIO</stp>
        <stp>FQ4 2002</stp>
        <stp>FQ4 2002</stp>
        <stp>[FA1_ivyerigx.xlsx]Bal Sheet - Standardized!R62C20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2" s="3"/>
      </tp>
      <tp>
        <v>1.4623999999999999</v>
        <stp/>
        <stp>##V3_BDHV12</stp>
        <stp>XOM US Equity</stp>
        <stp>CASH_FLOW_PER_SH</stp>
        <stp>FQ3 2004</stp>
        <stp>FQ3 2004</stp>
        <stp>[FA1_ivyerigx.xlsx]Per Share!R22C27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2" s="5"/>
      </tp>
      <tp>
        <v>2.4735</v>
        <stp/>
        <stp>##V3_BDHV12</stp>
        <stp>XOM US Equity</stp>
        <stp>CASH_FLOW_PER_SH</stp>
        <stp>FQ3 2006</stp>
        <stp>FQ3 2006</stp>
        <stp>[FA1_ivyerigx.xlsx]Per Share!R22C35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2" s="5"/>
      </tp>
      <tp>
        <v>47.487900000000003</v>
        <stp/>
        <stp>##V3_BDHV12</stp>
        <stp>XOM US Equity</stp>
        <stp>TCE_RATIO</stp>
        <stp>FQ4 2000</stp>
        <stp>FQ4 2000</stp>
        <stp>[FA1_ivyerigx.xlsx]Bal Sheet - Standardized!R62C12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2" s="3"/>
      </tp>
      <tp>
        <v>0</v>
        <stp/>
        <stp>##V3_BDHV12</stp>
        <stp>XOM US Equity</stp>
        <stp>BS_MKT_SEC_OTHER_ST_INVEST</stp>
        <stp>FQ2 2005</stp>
        <stp>FQ2 2005</stp>
        <stp>[FA1_ivyerigx.xlsx]Bal Sheet - Standardized!R9C30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9" s="3"/>
      </tp>
      <tp>
        <v>0</v>
        <stp/>
        <stp>##V3_BDHV12</stp>
        <stp>XOM US Equity</stp>
        <stp>BS_MKT_SEC_OTHER_ST_INVEST</stp>
        <stp>FQ1 2006</stp>
        <stp>FQ1 2006</stp>
        <stp>[FA1_ivyerigx.xlsx]Bal Sheet - Standardized!R9C33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9" s="3"/>
      </tp>
      <tp>
        <v>0</v>
        <stp/>
        <stp>##V3_BDHV12</stp>
        <stp>XOM US Equity</stp>
        <stp>BS_MKT_SEC_OTHER_ST_INVEST</stp>
        <stp>FQ3 2005</stp>
        <stp>FQ3 2005</stp>
        <stp>[FA1_ivyerigx.xlsx]Bal Sheet - Standardized!R9C31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9" s="3"/>
      </tp>
      <tp>
        <v>0</v>
        <stp/>
        <stp>##V3_BDHV12</stp>
        <stp>XOM US Equity</stp>
        <stp>BS_MKT_SEC_OTHER_ST_INVEST</stp>
        <stp>FQ4 2006</stp>
        <stp>FQ4 2006</stp>
        <stp>[FA1_ivyerigx.xlsx]Bal Sheet - Standardized!R9C36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9" s="3"/>
      </tp>
      <tp>
        <v>0</v>
        <stp/>
        <stp>##V3_BDHV12</stp>
        <stp>XOM US Equity</stp>
        <stp>BS_MKT_SEC_OTHER_ST_INVEST</stp>
        <stp>FQ3 2006</stp>
        <stp>FQ3 2006</stp>
        <stp>[FA1_ivyerigx.xlsx]Bal Sheet - Standardized!R9C35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9" s="3"/>
      </tp>
      <tp>
        <v>0</v>
        <stp/>
        <stp>##V3_BDHV12</stp>
        <stp>XOM US Equity</stp>
        <stp>BS_MKT_SEC_OTHER_ST_INVEST</stp>
        <stp>FQ2 2006</stp>
        <stp>FQ2 2006</stp>
        <stp>[FA1_ivyerigx.xlsx]Bal Sheet - Standardized!R9C34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9" s="3"/>
      </tp>
      <tp>
        <v>0</v>
        <stp/>
        <stp>##V3_BDHV12</stp>
        <stp>XOM US Equity</stp>
        <stp>BS_MKT_SEC_OTHER_ST_INVEST</stp>
        <stp>FQ1 2007</stp>
        <stp>FQ1 2007</stp>
        <stp>[FA1_ivyerigx.xlsx]Bal Sheet - Standardized!R9C37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9" s="3"/>
      </tp>
      <tp>
        <v>0</v>
        <stp/>
        <stp>##V3_BDHV12</stp>
        <stp>XOM US Equity</stp>
        <stp>BS_MKT_SEC_OTHER_ST_INVEST</stp>
        <stp>FQ4 2005</stp>
        <stp>FQ4 2005</stp>
        <stp>[FA1_ivyerigx.xlsx]Bal Sheet - Standardized!R9C32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9" s="3"/>
      </tp>
      <tp>
        <v>1829.9</v>
        <stp/>
        <stp>##V3_BDHV12</stp>
        <stp>XOM US Equity</stp>
        <stp>IS_TOT_CASH_COM_DVD</stp>
        <stp>FQ2 2005</stp>
        <stp>FQ2 2005</stp>
        <stp>[FA1_ivyerigx.xlsx]Income - Adjusted!R54C30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4" s="2"/>
      </tp>
      <tp>
        <v>1941.76</v>
        <stp/>
        <stp>##V3_BDHV12</stp>
        <stp>XOM US Equity</stp>
        <stp>IS_TOT_CASH_COM_DVD</stp>
        <stp>FQ1 2006</stp>
        <stp>FQ1 2006</stp>
        <stp>[FA1_ivyerigx.xlsx]Income - Adjusted!R54C33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4" s="2"/>
      </tp>
      <tp>
        <v>1568.83</v>
        <stp/>
        <stp>##V3_BDHV12</stp>
        <stp>XOM US Equity</stp>
        <stp>IS_TOT_CASH_COM_DVD</stp>
        <stp>FQ4 2001</stp>
        <stp>FQ4 2001</stp>
        <stp>[FA1_ivyerigx.xlsx]Income - Adjusted!R54C16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4" s="2"/>
      </tp>
      <tp>
        <v>1545</v>
        <stp/>
        <stp>##V3_BDHV12</stp>
        <stp>XOM US Equity</stp>
        <stp>IS_TOT_CASH_COM_DVD</stp>
        <stp>FQ4 2002</stp>
        <stp>FQ4 2002</stp>
        <stp>[FA1_ivyerigx.xlsx]Income - Adjusted!R54C20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4" s="2"/>
      </tp>
      <tp>
        <v>1763</v>
        <stp/>
        <stp>##V3_BDHV12</stp>
        <stp>XOM US Equity</stp>
        <stp>IS_TOT_CASH_COM_DVD</stp>
        <stp>FQ2 2004</stp>
        <stp>FQ2 2004</stp>
        <stp>[FA1_ivyerigx.xlsx]Income - Adjusted!R54C26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4" s="2"/>
      </tp>
      <tp>
        <v>-1033</v>
        <stp/>
        <stp>##V3_BDHV12</stp>
        <stp>XOM US Equity</stp>
        <stp>PROC_FR_REPURCH_EQTY_DETAILED</stp>
        <stp>FQ3 2002</stp>
        <stp>FQ3 2002</stp>
        <stp>[FA1_ivyerigx.xlsx]Cash Flow - Standardized!R30C19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4"/>
      </tp>
      <tp>
        <v>-7788</v>
        <stp/>
        <stp>##V3_BDHV12</stp>
        <stp>XOM US Equity</stp>
        <stp>PROC_FR_REPURCH_EQTY_DETAILED</stp>
        <stp>FQ1 2007</stp>
        <stp>FQ1 2007</stp>
        <stp>[FA1_ivyerigx.xlsx]Cash Flow - Standardized!R30C37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4"/>
      </tp>
      <tp>
        <v>0</v>
        <stp/>
        <stp>##V3_BDHV12</stp>
        <stp>XOM US Equity</stp>
        <stp>IS_TOT_CASH_PFD_DVD</stp>
        <stp>FQ4 2002</stp>
        <stp>FQ4 2002</stp>
        <stp>[FA1_ivyerigx.xlsx]Income - Adjusted!R25C20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2"/>
      </tp>
      <tp>
        <v>0</v>
        <stp/>
        <stp>##V3_BDHV12</stp>
        <stp>XOM US Equity</stp>
        <stp>IS_TOT_CASH_PFD_DVD</stp>
        <stp>FQ2 2004</stp>
        <stp>FQ2 2004</stp>
        <stp>[FA1_ivyerigx.xlsx]Income - Adjusted!R25C26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2"/>
      </tp>
      <tp>
        <v>-856</v>
        <stp/>
        <stp>##V3_BDHV12</stp>
        <stp>XOM US Equity</stp>
        <stp>PROC_FR_REPURCH_EQTY_DETAILED</stp>
        <stp>FQ3 2000</stp>
        <stp>FQ3 2000</stp>
        <stp>[FA1_ivyerigx.xlsx]Cash Flow - Standardized!R30C11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4"/>
      </tp>
      <tp>
        <v>0</v>
        <stp/>
        <stp>##V3_BDHV12</stp>
        <stp>XOM US Equity</stp>
        <stp>IS_TOT_CASH_PFD_DVD</stp>
        <stp>FQ2 2005</stp>
        <stp>FQ2 2005</stp>
        <stp>[FA1_ivyerigx.xlsx]Income - Adjusted!R25C30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2"/>
      </tp>
      <tp t="s">
        <v>—</v>
        <stp/>
        <stp>##V3_BDHV12</stp>
        <stp>XOM US Equity</stp>
        <stp>IS_TOT_CASH_PFD_DVD</stp>
        <stp>FQ1 2006</stp>
        <stp>FQ1 2006</stp>
        <stp>[FA1_ivyerigx.xlsx]Income - Adjusted!R25C33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2"/>
      </tp>
      <tp>
        <v>-5764</v>
        <stp/>
        <stp>##V3_BDHV12</stp>
        <stp>XOM US Equity</stp>
        <stp>PROC_FR_REPURCH_EQTY_DETAILED</stp>
        <stp>FQ1 2006</stp>
        <stp>FQ1 2006</stp>
        <stp>[FA1_ivyerigx.xlsx]Cash Flow - Standardized!R30C33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4"/>
      </tp>
      <tp>
        <v>-1289</v>
        <stp/>
        <stp>##V3_BDHV12</stp>
        <stp>XOM US Equity</stp>
        <stp>PROC_FR_REPURCH_EQTY_DETAILED</stp>
        <stp>FQ3 2001</stp>
        <stp>FQ3 2001</stp>
        <stp>[FA1_ivyerigx.xlsx]Cash Flow - Standardized!R30C15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4"/>
      </tp>
      <tp>
        <v>0</v>
        <stp/>
        <stp>##V3_BDHV12</stp>
        <stp>XOM US Equity</stp>
        <stp>IS_TOT_CASH_PFD_DVD</stp>
        <stp>FQ4 2001</stp>
        <stp>FQ4 2001</stp>
        <stp>[FA1_ivyerigx.xlsx]Income - Adjusted!R25C16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2"/>
      </tp>
      <tp>
        <v>0.6</v>
        <stp/>
        <stp>##V3_BDHV12</stp>
        <stp>XOM US Equity</stp>
        <stp>IS_EPS</stp>
        <stp>FQ4 1999</stp>
        <stp>FQ4 1999</stp>
        <stp>[FA1_ivyerigx.xlsx]Per Share!R14C8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4" s="5"/>
      </tp>
      <tp>
        <v>0.31</v>
        <stp/>
        <stp>##V3_BDHV12</stp>
        <stp>XOM US Equity</stp>
        <stp>IS_EPS</stp>
        <stp>FQ3 1999</stp>
        <stp>FQ3 1999</stp>
        <stp>[FA1_ivyerigx.xlsx]Per Share!R14C7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4" s="5"/>
      </tp>
      <tp>
        <v>0.25</v>
        <stp/>
        <stp>##V3_BDHV12</stp>
        <stp>XOM US Equity</stp>
        <stp>IS_EPS</stp>
        <stp>FQ2 1999</stp>
        <stp>FQ2 1999</stp>
        <stp>[FA1_ivyerigx.xlsx]Per Share!R14C6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4" s="5"/>
      </tp>
      <tp>
        <v>0.21</v>
        <stp/>
        <stp>##V3_BDHV12</stp>
        <stp>XOM US Equity</stp>
        <stp>IS_EPS</stp>
        <stp>FQ1 1999</stp>
        <stp>FQ1 1999</stp>
        <stp>[FA1_ivyerigx.xlsx]Per Share!R14C5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4" s="5"/>
      </tp>
      <tp t="s">
        <v>—</v>
        <stp/>
        <stp>##V3_BDHV12</stp>
        <stp>XOM US Equity</stp>
        <stp>NUM_OF_EMPLOYEES</stp>
        <stp>FQ1 2007</stp>
        <stp>FQ1 2007</stp>
        <stp>[FA1_ivyerigx.xlsx]Bal Sheet - Standardized!R65C37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5" s="3"/>
      </tp>
      <tp>
        <v>0.96</v>
        <stp/>
        <stp>##V3_BDHV12</stp>
        <stp>XOM US Equity</stp>
        <stp>IS_BASIC_EPS_CONT_OPS</stp>
        <stp>FQ3 2004</stp>
        <stp>FQ3 2004</stp>
        <stp>[FA1_ivyerigx.xlsx]Income - Adjusted!R36C27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6" s="2"/>
      </tp>
      <tp>
        <v>1.79</v>
        <stp/>
        <stp>##V3_BDHV12</stp>
        <stp>XOM US Equity</stp>
        <stp>IS_BASIC_EPS_CONT_OPS</stp>
        <stp>FQ3 2006</stp>
        <stp>FQ3 2006</stp>
        <stp>[FA1_ivyerigx.xlsx]Income - Adjusted!R36C35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6" s="2"/>
      </tp>
      <tp>
        <v>5362</v>
        <stp/>
        <stp>##V3_BDHV12</stp>
        <stp>XOM US Equity</stp>
        <stp>IS_SH_FOR_DILUTED_EPS</stp>
        <stp>FQ1 2008</stp>
        <stp>FQ1 2008</stp>
        <stp>[FA1_ivyerigx.xlsx]Income - Adjusted!R38C41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8" s="2"/>
      </tp>
      <tp t="s">
        <v>—</v>
        <stp/>
        <stp>##V3_BDHV12</stp>
        <stp>XOM US Equity</stp>
        <stp>IS_NET_INTEREST_EXPENSE</stp>
        <stp>FQ3 1998</stp>
        <stp>FQ3 1998</stp>
        <stp>[FA1_ivyerigx.xlsx]Income - Adjusted!R13C3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3" s="2"/>
      </tp>
      <tp t="s">
        <v>—</v>
        <stp/>
        <stp>##V3_BDHV12</stp>
        <stp>XOM US Equity</stp>
        <stp>IS_NET_INTEREST_EXPENSE</stp>
        <stp>FQ4 1998</stp>
        <stp>FQ4 1998</stp>
        <stp>[FA1_ivyerigx.xlsx]Income - Adjusted!R13C4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23.308499999999999</v>
        <stp/>
        <stp>##V3_BDHV12</stp>
        <stp>XOM US Equity</stp>
        <stp>BOOK_VAL_PER_SH</stp>
        <stp>FQ1 2008</stp>
        <stp>FQ1 2008</stp>
        <stp>[FA1_ivyerigx.xlsx]Per Share!R26C41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6" s="5"/>
      </tp>
      <tp>
        <v>1928</v>
        <stp/>
        <stp>##V3_BDHV12</stp>
        <stp>XOM US Equity</stp>
        <stp>INC_DEC_IN_OT_OP_AST_LIAB_DETAIL</stp>
        <stp>FQ1 2003</stp>
        <stp>FQ1 2003</stp>
        <stp>[FA1_ivyerigx.xlsx]Cash Flow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4"/>
      </tp>
      <tp>
        <v>394</v>
        <stp/>
        <stp>##V3_BDHV12</stp>
        <stp>XOM US Equity</stp>
        <stp>INC_DEC_IN_OT_OP_AST_LIAB_DETAIL</stp>
        <stp>FQ2 2000</stp>
        <stp>FQ2 2000</stp>
        <stp>[FA1_ivyerigx.xlsx]Cash Flow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4"/>
      </tp>
      <tp>
        <v>107415</v>
        <stp/>
        <stp>##V3_BDHV12</stp>
        <stp>XOM US Equity</stp>
        <stp>BS_NET_FIX_ASSET</stp>
        <stp>FQ1 2005</stp>
        <stp>FQ1 2005</stp>
        <stp>[FA1_ivyerigx.xlsx]Bal Sheet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3"/>
      </tp>
      <tp>
        <v>2373</v>
        <stp/>
        <stp>##V3_BDHV12</stp>
        <stp>XOM US Equity</stp>
        <stp>INC_DEC_IN_OT_OP_AST_LIAB_DETAIL</stp>
        <stp>FQ1 2004</stp>
        <stp>FQ1 2004</stp>
        <stp>[FA1_ivyerigx.xlsx]Cash Flow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4"/>
      </tp>
      <tp>
        <v>-422</v>
        <stp/>
        <stp>##V3_BDHV12</stp>
        <stp>XOM US Equity</stp>
        <stp>INC_DEC_IN_OT_OP_AST_LIAB_DETAIL</stp>
        <stp>FQ2 2001</stp>
        <stp>FQ2 2001</stp>
        <stp>[FA1_ivyerigx.xlsx]Cash Flow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4"/>
      </tp>
      <tp>
        <v>93190</v>
        <stp/>
        <stp>##V3_BDHV12</stp>
        <stp>XOM US Equity</stp>
        <stp>BS_NET_FIX_ASSET</stp>
        <stp>FQ2 2002</stp>
        <stp>FQ2 2002</stp>
        <stp>[FA1_ivyerigx.xlsx]Bal Sheet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3"/>
      </tp>
      <tp>
        <v>88356</v>
        <stp/>
        <stp>##V3_BDHV12</stp>
        <stp>XOM US Equity</stp>
        <stp>BS_NET_FIX_ASSET</stp>
        <stp>FQ2 2001</stp>
        <stp>FQ2 2001</stp>
        <stp>[FA1_ivyerigx.xlsx]Bal Sheet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3"/>
      </tp>
      <tp>
        <v>-784</v>
        <stp/>
        <stp>##V3_BDHV12</stp>
        <stp>XOM US Equity</stp>
        <stp>INC_DEC_IN_OT_OP_AST_LIAB_DETAIL</stp>
        <stp>FQ2 2002</stp>
        <stp>FQ2 2002</stp>
        <stp>[FA1_ivyerigx.xlsx]Cash Flow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4"/>
      </tp>
      <tp>
        <v>91303</v>
        <stp/>
        <stp>##V3_BDHV12</stp>
        <stp>XOM US Equity</stp>
        <stp>BS_NET_FIX_ASSET</stp>
        <stp>FQ2 2000</stp>
        <stp>FQ2 2000</stp>
        <stp>[FA1_ivyerigx.xlsx]Bal Sheet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3"/>
      </tp>
      <tp>
        <v>96595</v>
        <stp/>
        <stp>##V3_BDHV12</stp>
        <stp>XOM US Equity</stp>
        <stp>BS_NET_FIX_ASSET</stp>
        <stp>FQ1 2003</stp>
        <stp>FQ1 2003</stp>
        <stp>[FA1_ivyerigx.xlsx]Bal Sheet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3"/>
      </tp>
      <tp>
        <v>104784</v>
        <stp/>
        <stp>##V3_BDHV12</stp>
        <stp>XOM US Equity</stp>
        <stp>BS_NET_FIX_ASSET</stp>
        <stp>FQ1 2004</stp>
        <stp>FQ1 2004</stp>
        <stp>[FA1_ivyerigx.xlsx]Bal Sheet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3"/>
      </tp>
      <tp>
        <v>3549</v>
        <stp/>
        <stp>##V3_BDHV12</stp>
        <stp>XOM US Equity</stp>
        <stp>INC_DEC_IN_OT_OP_AST_LIAB_DETAIL</stp>
        <stp>FQ1 2005</stp>
        <stp>FQ1 2005</stp>
        <stp>[FA1_ivyerigx.xlsx]Cash Flow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4"/>
      </tp>
      <tp>
        <v>0.35</v>
        <stp/>
        <stp>##V3_BDHV12</stp>
        <stp>XOM US Equity</stp>
        <stp>EQY_DPS</stp>
        <stp>FQ3 2007</stp>
        <stp>FQ3 2007</stp>
        <stp>[FA1_ivyerigx.xlsx]Income - Adjusted!R53C39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3" s="2"/>
      </tp>
      <tp>
        <v>2128</v>
        <stp/>
        <stp>##V3_BDHV12</stp>
        <stp>XOM US Equity</stp>
        <stp>CF_DEPR_AMORT</stp>
        <stp>FQ1 2000</stp>
        <stp>FQ1 2000</stp>
        <stp>[FA1_ivyerigx.xlsx]Cash Flow - Standardized!R8C9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8" s="4"/>
      </tp>
      <tp>
        <v>5194</v>
        <stp/>
        <stp>##V3_BDHV12</stp>
        <stp>XOM US Equity</stp>
        <stp>BS_SH_OUT</stp>
        <stp>FQ2 2008</stp>
        <stp>FQ2 2008</stp>
        <stp>[FA1_ivyerigx.xlsx]Bal Sheet - Standardized!R53C42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3" s="3"/>
      </tp>
      <tp>
        <v>5283</v>
        <stp/>
        <stp>##V3_BDHV12</stp>
        <stp>XOM US Equity</stp>
        <stp>BS_SH_OUT</stp>
        <stp>FQ1 2008</stp>
        <stp>FQ1 2008</stp>
        <stp>[FA1_ivyerigx.xlsx]Bal Sheet - Standardized!R53C41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3" s="3"/>
      </tp>
      <tp>
        <v>6729</v>
        <stp/>
        <stp>##V3_BDHV12</stp>
        <stp>XOM US Equity</stp>
        <stp>BS_SH_OUT</stp>
        <stp>FQ3 2002</stp>
        <stp>FQ3 2002</stp>
        <stp>[FA1_ivyerigx.xlsx]Bal Sheet - Standardized!R53C19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3" s="3"/>
      </tp>
      <tp>
        <v>6757</v>
        <stp/>
        <stp>##V3_BDHV12</stp>
        <stp>XOM US Equity</stp>
        <stp>BS_SH_OUT</stp>
        <stp>FQ2 2002</stp>
        <stp>FQ2 2002</stp>
        <stp>[FA1_ivyerigx.xlsx]Bal Sheet - Standardized!R53C18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3" s="3"/>
      </tp>
      <tp>
        <v>0.85670000000000002</v>
        <stp/>
        <stp>##V3_BDHV12</stp>
        <stp>XOM US Equity</stp>
        <stp>CASH_FLOW_PER_SH</stp>
        <stp>FQ2 2000</stp>
        <stp>FQ2 2000</stp>
        <stp>[FA1_ivyerigx.xlsx]Per Share!R22C10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2" s="5"/>
      </tp>
      <tp>
        <v>0.86180000000000001</v>
        <stp/>
        <stp>##V3_BDHV12</stp>
        <stp>XOM US Equity</stp>
        <stp>CASH_FLOW_PER_SH</stp>
        <stp>FQ3 2003</stp>
        <stp>FQ3 2003</stp>
        <stp>[FA1_ivyerigx.xlsx]Per Share!R22C23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2" s="5"/>
      </tp>
      <tp>
        <v>2.5285000000000002</v>
        <stp/>
        <stp>##V3_BDHV12</stp>
        <stp>XOM US Equity</stp>
        <stp>CASH_FLOW_PER_SH</stp>
        <stp>FQ1 2007</stp>
        <stp>FQ1 2007</stp>
        <stp>[FA1_ivyerigx.xlsx]Per Share!R22C37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2" s="5"/>
      </tp>
      <tp>
        <v>1.5303</v>
        <stp/>
        <stp>##V3_BDHV12</stp>
        <stp>XOM US Equity</stp>
        <stp>CASH_FLOW_PER_SH</stp>
        <stp>FQ4 2006</stp>
        <stp>FQ4 2006</stp>
        <stp>[FA1_ivyerigx.xlsx]Per Share!R22C36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2" s="5"/>
      </tp>
      <tp>
        <v>6401</v>
        <stp/>
        <stp>##V3_BDHV12</stp>
        <stp>XOM US Equity</stp>
        <stp>BS_SH_OUT</stp>
        <stp>FQ4 2004</stp>
        <stp>FQ4 2004</stp>
        <stp>[FA1_ivyerigx.xlsx]Bal Sheet - Standardized!R53C28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3" s="3"/>
      </tp>
      <tp>
        <v>1432.0572999999999</v>
        <stp/>
        <stp>##V3_BDHV12</stp>
        <stp>XOM US Equity</stp>
        <stp>CF_FREE_CASH_FLOW_FIRM</stp>
        <stp>FQ3 1998</stp>
        <stp>FQ3 1998</stp>
        <stp>[FA1_ivyerigx.xlsx]Cash Flow - Standardized!R47C3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7" s="4"/>
      </tp>
      <tp t="s">
        <v>—</v>
        <stp/>
        <stp>##V3_BDHV12</stp>
        <stp>XOM US Equity</stp>
        <stp>CF_FREE_CASH_FLOW_FIRM</stp>
        <stp>FQ4 1998</stp>
        <stp>FQ4 1998</stp>
        <stp>[FA1_ivyerigx.xlsx]Cash Flow - Standardized!R47C4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7" s="4"/>
      </tp>
      <tp>
        <v>-3767</v>
        <stp/>
        <stp>##V3_BDHV12</stp>
        <stp>XOM US Equity</stp>
        <stp>ACQUIS_FXD_&amp;_INTANG_DETAILED</stp>
        <stp>FQ4 2006</stp>
        <stp>FQ4 2006</stp>
        <stp>[FA1_ivyerigx.xlsx]Cash Flow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4"/>
      </tp>
      <tp>
        <v>1914.5</v>
        <stp/>
        <stp>##V3_BDHV12</stp>
        <stp>XOM US Equity</stp>
        <stp>IS_TOT_CASH_COM_DVD</stp>
        <stp>FQ3 2007</stp>
        <stp>FQ3 2007</stp>
        <stp>[FA1_ivyerigx.xlsx]Income - Adjusted!R54C39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4" s="2"/>
      </tp>
      <tp>
        <v>-3899</v>
        <stp/>
        <stp>##V3_BDHV12</stp>
        <stp>XOM US Equity</stp>
        <stp>ACQUIS_FXD_&amp;_INTANG_DETAILED</stp>
        <stp>FQ4 2005</stp>
        <stp>FQ4 2005</stp>
        <stp>[FA1_ivyerigx.xlsx]Cash Flow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4"/>
      </tp>
      <tp>
        <v>1891.54</v>
        <stp/>
        <stp>##V3_BDHV12</stp>
        <stp>XOM US Equity</stp>
        <stp>IS_TOT_CASH_COM_DVD</stp>
        <stp>FQ4 2007</stp>
        <stp>FQ4 2007</stp>
        <stp>[FA1_ivyerigx.xlsx]Income - Adjusted!R54C40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4" s="2"/>
      </tp>
      <tp>
        <v>1642</v>
        <stp/>
        <stp>##V3_BDHV12</stp>
        <stp>XOM US Equity</stp>
        <stp>IS_TOT_CASH_COM_DVD</stp>
        <stp>FQ1 2004</stp>
        <stp>FQ1 2004</stp>
        <stp>[FA1_ivyerigx.xlsx]Income - Adjusted!R54C25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4" s="2"/>
      </tp>
      <tp>
        <v>1910.72</v>
        <stp/>
        <stp>##V3_BDHV12</stp>
        <stp>XOM US Equity</stp>
        <stp>IS_TOT_CASH_COM_DVD</stp>
        <stp>FQ2 2006</stp>
        <stp>FQ2 2006</stp>
        <stp>[FA1_ivyerigx.xlsx]Income - Adjusted!R54C34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4" s="2"/>
      </tp>
      <tp>
        <v>-7396</v>
        <stp/>
        <stp>##V3_BDHV12</stp>
        <stp>XOM US Equity</stp>
        <stp>PROC_FR_REPURCH_EQTY_DETAILED</stp>
        <stp>FQ2 2007</stp>
        <stp>FQ2 2007</stp>
        <stp>[FA1_ivyerigx.xlsx]Cash Flow - Standardized!R30C38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4"/>
      </tp>
      <tp>
        <v>0</v>
        <stp/>
        <stp>##V3_BDHV12</stp>
        <stp>XOM US Equity</stp>
        <stp>IS_TOT_CASH_PFD_DVD</stp>
        <stp>FQ3 2007</stp>
        <stp>FQ3 2007</stp>
        <stp>[FA1_ivyerigx.xlsx]Income - Adjusted!R25C39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2"/>
      </tp>
      <tp t="s">
        <v>—</v>
        <stp/>
        <stp>##V3_BDHV12</stp>
        <stp>XOM US Equity</stp>
        <stp>FREE_CASH_FLOW_EQUITY</stp>
        <stp>FQ4 2006</stp>
        <stp>FQ4 2006</stp>
        <stp>[FA1_ivyerigx.xlsx]Cash Flow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4"/>
      </tp>
      <tp>
        <v>0</v>
        <stp/>
        <stp>##V3_BDHV12</stp>
        <stp>XOM US Equity</stp>
        <stp>IS_TOT_CASH_PFD_DVD</stp>
        <stp>FQ1 2004</stp>
        <stp>FQ1 2004</stp>
        <stp>[FA1_ivyerigx.xlsx]Income - Adjusted!R25C25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2"/>
      </tp>
      <tp>
        <v>-6502</v>
        <stp/>
        <stp>##V3_BDHV12</stp>
        <stp>XOM US Equity</stp>
        <stp>PROC_FR_REPURCH_EQTY_DETAILED</stp>
        <stp>FQ2 2006</stp>
        <stp>FQ2 2006</stp>
        <stp>[FA1_ivyerigx.xlsx]Cash Flow - Standardized!R30C34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4"/>
      </tp>
      <tp>
        <v>-2760</v>
        <stp/>
        <stp>##V3_BDHV12</stp>
        <stp>XOM US Equity</stp>
        <stp>PROC_FR_REPURCH_EQTY_DETAILED</stp>
        <stp>FQ3 2004</stp>
        <stp>FQ3 2004</stp>
        <stp>[FA1_ivyerigx.xlsx]Cash Flow - Standardized!R30C27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4"/>
      </tp>
      <tp t="s">
        <v>—</v>
        <stp/>
        <stp>##V3_BDHV12</stp>
        <stp>XOM US Equity</stp>
        <stp>IS_TOT_CASH_PFD_DVD</stp>
        <stp>FQ2 2006</stp>
        <stp>FQ2 2006</stp>
        <stp>[FA1_ivyerigx.xlsx]Income - Adjusted!R25C34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2"/>
      </tp>
      <tp>
        <v>-1577</v>
        <stp/>
        <stp>##V3_BDHV12</stp>
        <stp>XOM US Equity</stp>
        <stp>PROC_FR_REPURCH_EQTY_DETAILED</stp>
        <stp>FQ3 2003</stp>
        <stp>FQ3 2003</stp>
        <stp>[FA1_ivyerigx.xlsx]Cash Flow - Standardized!R30C23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4"/>
      </tp>
      <tp>
        <v>-3609</v>
        <stp/>
        <stp>##V3_BDHV12</stp>
        <stp>XOM US Equity</stp>
        <stp>PROC_FR_REPURCH_EQTY_DETAILED</stp>
        <stp>FQ2 2005</stp>
        <stp>FQ2 2005</stp>
        <stp>[FA1_ivyerigx.xlsx]Cash Flow - Standardized!R30C30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4"/>
      </tp>
      <tp>
        <v>0</v>
        <stp/>
        <stp>##V3_BDHV12</stp>
        <stp>XOM US Equity</stp>
        <stp>IS_TOT_CASH_PFD_DVD</stp>
        <stp>FQ4 2007</stp>
        <stp>FQ4 2007</stp>
        <stp>[FA1_ivyerigx.xlsx]Income - Adjusted!R25C40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2"/>
      </tp>
      <tp>
        <v>7460</v>
        <stp/>
        <stp>##V3_BDHV12</stp>
        <stp>XOM US Equity</stp>
        <stp>FREE_CASH_FLOW_EQUITY</stp>
        <stp>FQ4 2005</stp>
        <stp>FQ4 2005</stp>
        <stp>[FA1_ivyerigx.xlsx]Cash Flow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4"/>
      </tp>
      <tp t="s">
        <v>—</v>
        <stp/>
        <stp>##V3_BDHV12</stp>
        <stp>XOM US Equity</stp>
        <stp>NUM_OF_EMPLOYEES</stp>
        <stp>FQ2 2000</stp>
        <stp>FQ2 2000</stp>
        <stp>[FA1_ivyerigx.xlsx]Bal Sheet - Standardized!R65C10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5" s="3"/>
      </tp>
      <tp t="s">
        <v>—</v>
        <stp/>
        <stp>##V3_BDHV12</stp>
        <stp>XOM US Equity</stp>
        <stp>NUM_OF_EMPLOYEES</stp>
        <stp>FQ3 2000</stp>
        <stp>FQ3 2000</stp>
        <stp>[FA1_ivyerigx.xlsx]Bal Sheet - Standardized!R65C11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5" s="3"/>
      </tp>
      <tp>
        <v>0.60499999999999998</v>
        <stp/>
        <stp>##V3_BDHV12</stp>
        <stp>XOM US Equity</stp>
        <stp>IS_BASIC_EPS_CONT_OPS</stp>
        <stp>FQ2 2000</stp>
        <stp>FQ2 2000</stp>
        <stp>[FA1_ivyerigx.xlsx]Income - Adjusted!R36C10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6" s="2"/>
      </tp>
      <tp>
        <v>0.55000000000000004</v>
        <stp/>
        <stp>##V3_BDHV12</stp>
        <stp>XOM US Equity</stp>
        <stp>IS_BASIC_EPS_CONT_OPS</stp>
        <stp>FQ3 2003</stp>
        <stp>FQ3 2003</stp>
        <stp>[FA1_ivyerigx.xlsx]Income - Adjusted!R36C23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6" s="2"/>
      </tp>
      <tp>
        <v>1.6400000000000001</v>
        <stp/>
        <stp>##V3_BDHV12</stp>
        <stp>XOM US Equity</stp>
        <stp>IS_BASIC_EPS_CONT_OPS</stp>
        <stp>FQ1 2007</stp>
        <stp>FQ1 2007</stp>
        <stp>[FA1_ivyerigx.xlsx]Income - Adjusted!R36C37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6" s="2"/>
      </tp>
      <tp>
        <v>1.7</v>
        <stp/>
        <stp>##V3_BDHV12</stp>
        <stp>XOM US Equity</stp>
        <stp>IS_BASIC_EPS_CONT_OPS</stp>
        <stp>FQ4 2006</stp>
        <stp>FQ4 2006</stp>
        <stp>[FA1_ivyerigx.xlsx]Income - Adjusted!R36C36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6" s="2"/>
      </tp>
      <tp>
        <v>5261</v>
        <stp/>
        <stp>##V3_BDHV12</stp>
        <stp>XOM US Equity</stp>
        <stp>IS_SH_FOR_DILUTED_EPS</stp>
        <stp>FQ2 2008</stp>
        <stp>FQ2 2008</stp>
        <stp>[FA1_ivyerigx.xlsx]Income - Adjusted!R38C42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8" s="2"/>
      </tp>
      <tp>
        <v>6831</v>
        <stp/>
        <stp>##V3_BDHV12</stp>
        <stp>XOM US Equity</stp>
        <stp>IS_SH_FOR_DILUTED_EPS</stp>
        <stp>FQ2 2002</stp>
        <stp>FQ2 2002</stp>
        <stp>[FA1_ivyerigx.xlsx]Income - Adjusted!R38C18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8" s="2"/>
      </tp>
      <tp>
        <v>1500</v>
        <stp/>
        <stp>##V3_BDHV12</stp>
        <stp>XOM US Equity</stp>
        <stp>EARN_FOR_COMMON</stp>
        <stp>FQ3 1999</stp>
        <stp>FQ3 1999</stp>
        <stp>[FA1_ivyerigx.xlsx]Income - Adjusted!R29C7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29" s="2"/>
      </tp>
      <tp>
        <v>1204</v>
        <stp/>
        <stp>##V3_BDHV12</stp>
        <stp>XOM US Equity</stp>
        <stp>EARN_FOR_COMMON</stp>
        <stp>FQ2 1999</stp>
        <stp>FQ2 1999</stp>
        <stp>[FA1_ivyerigx.xlsx]Income - Adjusted!R29C6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29" s="2"/>
      </tp>
      <tp>
        <v>1018</v>
        <stp/>
        <stp>##V3_BDHV12</stp>
        <stp>XOM US Equity</stp>
        <stp>EARN_FOR_COMMON</stp>
        <stp>FQ1 1999</stp>
        <stp>FQ1 1999</stp>
        <stp>[FA1_ivyerigx.xlsx]Income - Adjusted!R29C5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29" s="2"/>
      </tp>
      <tp>
        <v>24.032699999999998</v>
        <stp/>
        <stp>##V3_BDHV12</stp>
        <stp>XOM US Equity</stp>
        <stp>BOOK_VAL_PER_SH</stp>
        <stp>FQ2 2008</stp>
        <stp>FQ2 2008</stp>
        <stp>[FA1_ivyerigx.xlsx]Per Share!R26C42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6" s="5"/>
      </tp>
      <tp>
        <v>11.117100000000001</v>
        <stp/>
        <stp>##V3_BDHV12</stp>
        <stp>XOM US Equity</stp>
        <stp>BOOK_VAL_PER_SH</stp>
        <stp>FQ2 2002</stp>
        <stp>FQ2 2002</stp>
        <stp>[FA1_ivyerigx.xlsx]Per Share!R26C18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6" s="5"/>
      </tp>
      <tp>
        <v>-492</v>
        <stp/>
        <stp>##V3_BDHV12</stp>
        <stp>XOM US Equity</stp>
        <stp>INC_DEC_IN_OT_OP_AST_LIAB_DETAIL</stp>
        <stp>FQ3 2000</stp>
        <stp>FQ3 2000</stp>
        <stp>[FA1_ivyerigx.xlsx]Cash Flow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4"/>
      </tp>
      <tp>
        <v>1843</v>
        <stp/>
        <stp>##V3_BDHV12</stp>
        <stp>XOM US Equity</stp>
        <stp>INC_DEC_IN_OT_OP_AST_LIAB_DETAIL</stp>
        <stp>FQ1 2007</stp>
        <stp>FQ1 2007</stp>
        <stp>[FA1_ivyerigx.xlsx]Cash Flow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4"/>
      </tp>
      <tp>
        <v>-424</v>
        <stp/>
        <stp>##V3_BDHV12</stp>
        <stp>XOM US Equity</stp>
        <stp>INC_DEC_IN_OT_OP_AST_LIAB_DETAIL</stp>
        <stp>FQ3 2001</stp>
        <stp>FQ3 2001</stp>
        <stp>[FA1_ivyerigx.xlsx]Cash Flow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4"/>
      </tp>
      <tp>
        <v>93459</v>
        <stp/>
        <stp>##V3_BDHV12</stp>
        <stp>XOM US Equity</stp>
        <stp>BS_NET_FIX_ASSET</stp>
        <stp>FQ3 2002</stp>
        <stp>FQ3 2002</stp>
        <stp>[FA1_ivyerigx.xlsx]Bal Sheet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3"/>
      </tp>
      <tp>
        <v>3257</v>
        <stp/>
        <stp>##V3_BDHV12</stp>
        <stp>XOM US Equity</stp>
        <stp>INC_DEC_IN_OT_OP_AST_LIAB_DETAIL</stp>
        <stp>FQ1 2006</stp>
        <stp>FQ1 2006</stp>
        <stp>[FA1_ivyerigx.xlsx]Cash Flow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4"/>
      </tp>
      <tp>
        <v>89533</v>
        <stp/>
        <stp>##V3_BDHV12</stp>
        <stp>XOM US Equity</stp>
        <stp>BS_NET_FIX_ASSET</stp>
        <stp>FQ3 2001</stp>
        <stp>FQ3 2001</stp>
        <stp>[FA1_ivyerigx.xlsx]Bal Sheet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3"/>
      </tp>
      <tp t="s">
        <v>—</v>
        <stp/>
        <stp>##V3_BDHV12</stp>
        <stp>XOM US Equity</stp>
        <stp>BS_OPTIONS_OUTSTANDING</stp>
        <stp>FQ1 2002</stp>
        <stp>FQ1 2002</stp>
        <stp>[FA1_ivyerigx.xlsx]Bal Sheet - Standardized!R59C17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9" s="3"/>
      </tp>
      <tp>
        <v>108397</v>
        <stp/>
        <stp>##V3_BDHV12</stp>
        <stp>XOM US Equity</stp>
        <stp>BS_NET_FIX_ASSET</stp>
        <stp>FQ1 2006</stp>
        <stp>FQ1 2006</stp>
        <stp>[FA1_ivyerigx.xlsx]Bal Sheet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3"/>
      </tp>
      <tp>
        <v>2422</v>
        <stp/>
        <stp>##V3_BDHV12</stp>
        <stp>XOM US Equity</stp>
        <stp>INC_DEC_IN_OT_OP_AST_LIAB_DETAIL</stp>
        <stp>FQ3 2002</stp>
        <stp>FQ3 2002</stp>
        <stp>[FA1_ivyerigx.xlsx]Cash Flow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4"/>
      </tp>
      <tp>
        <v>90067</v>
        <stp/>
        <stp>##V3_BDHV12</stp>
        <stp>XOM US Equity</stp>
        <stp>BS_NET_FIX_ASSET</stp>
        <stp>FQ3 2000</stp>
        <stp>FQ3 2000</stp>
        <stp>[FA1_ivyerigx.xlsx]Bal Sheet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3"/>
      </tp>
      <tp>
        <v>140.61199999999999</v>
        <stp/>
        <stp>##V3_BDHV12</stp>
        <stp>XOM US Equity</stp>
        <stp>BS_OPTIONS_OUTSTANDING</stp>
        <stp>FQ1 2006</stp>
        <stp>FQ1 2006</stp>
        <stp>[FA1_ivyerigx.xlsx]Bal Sheet - Standardized!R59C33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9" s="3"/>
      </tp>
      <tp>
        <v>110.48699999999999</v>
        <stp/>
        <stp>##V3_BDHV12</stp>
        <stp>XOM US Equity</stp>
        <stp>BS_OPTIONS_OUTSTANDING</stp>
        <stp>FQ4 2006</stp>
        <stp>FQ4 2006</stp>
        <stp>[FA1_ivyerigx.xlsx]Bal Sheet - Standardized!R59C36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9" s="3"/>
      </tp>
      <tp>
        <v>114201</v>
        <stp/>
        <stp>##V3_BDHV12</stp>
        <stp>XOM US Equity</stp>
        <stp>BS_NET_FIX_ASSET</stp>
        <stp>FQ1 2007</stp>
        <stp>FQ1 2007</stp>
        <stp>[FA1_ivyerigx.xlsx]Bal Sheet - Standardized!R19C37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9" s="3"/>
      </tp>
      <tp>
        <v>0.35</v>
        <stp/>
        <stp>##V3_BDHV12</stp>
        <stp>XOM US Equity</stp>
        <stp>EQY_DPS</stp>
        <stp>FQ2 2007</stp>
        <stp>FQ2 2007</stp>
        <stp>[FA1_ivyerigx.xlsx]Income - Adjusted!R53C38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3" s="2"/>
      </tp>
      <tp t="s">
        <v>—</v>
        <stp/>
        <stp>##V3_BDHV12</stp>
        <stp>XOM US Equity</stp>
        <stp>CF_NET_CASH_PAID_FOR_AQUIS</stp>
        <stp>FQ1 2000</stp>
        <stp>FQ1 2000</stp>
        <stp>[FA1_ivyerigx.xlsx]Cash Flow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4"/>
      </tp>
      <tp>
        <v>0</v>
        <stp/>
        <stp>##V3_BDHV12</stp>
        <stp>XOM US Equity</stp>
        <stp>BS_MKT_SEC_OTHER_ST_INVEST</stp>
        <stp>FQ3 2002</stp>
        <stp>FQ3 2002</stp>
        <stp>[FA1_ivyerigx.xlsx]Bal Sheet - Standardized!R9C19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9" s="3"/>
      </tp>
      <tp>
        <v>0</v>
        <stp/>
        <stp>##V3_BDHV12</stp>
        <stp>XOM US Equity</stp>
        <stp>BS_MKT_SEC_OTHER_ST_INVEST</stp>
        <stp>FQ2 2002</stp>
        <stp>FQ2 2002</stp>
        <stp>[FA1_ivyerigx.xlsx]Bal Sheet - Standardized!R9C18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9" s="3"/>
      </tp>
      <tp>
        <v>50.949399999999997</v>
        <stp/>
        <stp>##V3_BDHV12</stp>
        <stp>XOM US Equity</stp>
        <stp>TCE_RATIO</stp>
        <stp>FQ1 2002</stp>
        <stp>FQ1 2002</stp>
        <stp>[FA1_ivyerigx.xlsx]Bal Sheet - Standardized!R62C17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2" s="3"/>
      </tp>
      <tp>
        <v>1.1044</v>
        <stp/>
        <stp>##V3_BDHV12</stp>
        <stp>XOM US Equity</stp>
        <stp>CASH_FLOW_PER_SH</stp>
        <stp>FQ2 2003</stp>
        <stp>FQ2 2003</stp>
        <stp>[FA1_ivyerigx.xlsx]Per Share!R22C22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2" s="5"/>
      </tp>
      <tp>
        <v>0.77700000000000002</v>
        <stp/>
        <stp>##V3_BDHV12</stp>
        <stp>XOM US Equity</stp>
        <stp>CASH_FLOW_PER_SH</stp>
        <stp>FQ3 2000</stp>
        <stp>FQ3 2000</stp>
        <stp>[FA1_ivyerigx.xlsx]Per Share!R22C11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2" s="5"/>
      </tp>
      <tp>
        <v>1.5491999999999999</v>
        <stp/>
        <stp>##V3_BDHV12</stp>
        <stp>XOM US Equity</stp>
        <stp>CASH_FLOW_PER_SH</stp>
        <stp>FQ1 2004</stp>
        <stp>FQ1 2004</stp>
        <stp>[FA1_ivyerigx.xlsx]Per Share!R22C25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2" s="5"/>
      </tp>
      <tp>
        <v>0</v>
        <stp/>
        <stp>##V3_BDHV12</stp>
        <stp>XOM US Equity</stp>
        <stp>BS_MKT_SEC_OTHER_ST_INVEST</stp>
        <stp>FQ4 2001</stp>
        <stp>FQ4 2001</stp>
        <stp>[FA1_ivyerigx.xlsx]Bal Sheet - Standardized!R9C16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9" s="3"/>
      </tp>
      <tp t="s">
        <v>—</v>
        <stp/>
        <stp>##V3_BDHV12</stp>
        <stp>XOM US Equity</stp>
        <stp>BS_MKT_SEC_OTHER_ST_INVEST</stp>
        <stp>FQ1 2001</stp>
        <stp>FQ1 2001</stp>
        <stp>[FA1_ivyerigx.xlsx]Bal Sheet - Standardized!R9C13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9" s="3"/>
      </tp>
      <tp>
        <v>2</v>
        <stp/>
        <stp>##V3_BDHV12</stp>
        <stp>XOM US Equity</stp>
        <stp>BS_MKT_SEC_OTHER_ST_INVEST</stp>
        <stp>FQ3 2000</stp>
        <stp>FQ3 2000</stp>
        <stp>[FA1_ivyerigx.xlsx]Bal Sheet - Standardized!R9C11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9" s="3"/>
      </tp>
      <tp>
        <v>50</v>
        <stp/>
        <stp>##V3_BDHV12</stp>
        <stp>XOM US Equity</stp>
        <stp>BS_MKT_SEC_OTHER_ST_INVEST</stp>
        <stp>FQ2 2000</stp>
        <stp>FQ2 2000</stp>
        <stp>[FA1_ivyerigx.xlsx]Bal Sheet - Standardized!R9C10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9" s="3"/>
      </tp>
      <tp>
        <v>52.0657</v>
        <stp/>
        <stp>##V3_BDHV12</stp>
        <stp>XOM US Equity</stp>
        <stp>TCE_RATIO</stp>
        <stp>FQ1 2006</stp>
        <stp>FQ1 2006</stp>
        <stp>[FA1_ivyerigx.xlsx]Bal Sheet - Standardized!R62C33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2" s="3"/>
      </tp>
      <tp>
        <v>51.98</v>
        <stp/>
        <stp>##V3_BDHV12</stp>
        <stp>XOM US Equity</stp>
        <stp>TCE_RATIO</stp>
        <stp>FQ4 2006</stp>
        <stp>FQ4 2006</stp>
        <stp>[FA1_ivyerigx.xlsx]Bal Sheet - Standardized!R62C36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2" s="3"/>
      </tp>
      <tp>
        <v>1</v>
        <stp/>
        <stp>##V3_BDHV12</stp>
        <stp>XOM US Equity</stp>
        <stp>BS_MKT_SEC_OTHER_ST_INVEST</stp>
        <stp>FQ4 2000</stp>
        <stp>FQ4 2000</stp>
        <stp>[FA1_ivyerigx.xlsx]Bal Sheet - Standardized!R9C12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9" s="3"/>
      </tp>
      <tp t="s">
        <v>—</v>
        <stp/>
        <stp>##V3_BDHV12</stp>
        <stp>XOM US Equity</stp>
        <stp>BS_MKT_SEC_OTHER_ST_INVEST</stp>
        <stp>FQ2 2001</stp>
        <stp>FQ2 2001</stp>
        <stp>[FA1_ivyerigx.xlsx]Bal Sheet - Standardized!R9C14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9" s="3"/>
      </tp>
      <tp>
        <v>0</v>
        <stp/>
        <stp>##V3_BDHV12</stp>
        <stp>XOM US Equity</stp>
        <stp>BS_MKT_SEC_OTHER_ST_INVEST</stp>
        <stp>FQ1 2002</stp>
        <stp>FQ1 2002</stp>
        <stp>[FA1_ivyerigx.xlsx]Bal Sheet - Standardized!R9C17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9" s="3"/>
      </tp>
      <tp t="s">
        <v>—</v>
        <stp/>
        <stp>##V3_BDHV12</stp>
        <stp>XOM US Equity</stp>
        <stp>BS_MKT_SEC_OTHER_ST_INVEST</stp>
        <stp>FQ3 2001</stp>
        <stp>FQ3 2001</stp>
        <stp>[FA1_ivyerigx.xlsx]Bal Sheet - Standardized!R9C15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9" s="3"/>
      </tp>
      <tp>
        <v>1718.55</v>
        <stp/>
        <stp>##V3_BDHV12</stp>
        <stp>XOM US Equity</stp>
        <stp>IS_TOT_CASH_COM_DVD</stp>
        <stp>FQ1 2005</stp>
        <stp>FQ1 2005</stp>
        <stp>[FA1_ivyerigx.xlsx]Income - Adjusted!R54C29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4" s="2"/>
      </tp>
      <tp>
        <v>-3290</v>
        <stp/>
        <stp>##V3_BDHV12</stp>
        <stp>XOM US Equity</stp>
        <stp>ACQUIS_FXD_&amp;_INTANG_DETAILED</stp>
        <stp>FQ4 2002</stp>
        <stp>FQ4 2002</stp>
        <stp>[FA1_ivyerigx.xlsx]Cash Flow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4"/>
      </tp>
      <tp>
        <v>1944.25</v>
        <stp/>
        <stp>##V3_BDHV12</stp>
        <stp>XOM US Equity</stp>
        <stp>IS_TOT_CASH_COM_DVD</stp>
        <stp>FQ2 2007</stp>
        <stp>FQ2 2007</stp>
        <stp>[FA1_ivyerigx.xlsx]Income - Adjusted!R54C38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4" s="2"/>
      </tp>
      <tp>
        <v>-3554</v>
        <stp/>
        <stp>##V3_BDHV12</stp>
        <stp>XOM US Equity</stp>
        <stp>ACQUIS_FXD_&amp;_INTANG_DETAILED</stp>
        <stp>FQ4 2003</stp>
        <stp>FQ4 2003</stp>
        <stp>[FA1_ivyerigx.xlsx]Cash Flow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4"/>
      </tp>
      <tp>
        <v>-3407</v>
        <stp/>
        <stp>##V3_BDHV12</stp>
        <stp>XOM US Equity</stp>
        <stp>ACQUIS_FXD_&amp;_INTANG_DETAILED</stp>
        <stp>FQ4 2004</stp>
        <stp>FQ4 2004</stp>
        <stp>[FA1_ivyerigx.xlsx]Cash Flow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4"/>
      </tp>
      <tp>
        <v>-4872</v>
        <stp/>
        <stp>##V3_BDHV12</stp>
        <stp>XOM US Equity</stp>
        <stp>ACQUIS_FXD_&amp;_INTANG_DETAILED</stp>
        <stp>FQ2 2008</stp>
        <stp>FQ2 2008</stp>
        <stp>[FA1_ivyerigx.xlsx]Cash Flow - Standardized!R20C42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4"/>
      </tp>
      <tp>
        <v>1875.52</v>
        <stp/>
        <stp>##V3_BDHV12</stp>
        <stp>XOM US Equity</stp>
        <stp>IS_TOT_CASH_COM_DVD</stp>
        <stp>FQ3 2006</stp>
        <stp>FQ3 2006</stp>
        <stp>[FA1_ivyerigx.xlsx]Income - Adjusted!R54C35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4" s="2"/>
      </tp>
      <tp>
        <v>0</v>
        <stp/>
        <stp>##V3_BDHV12</stp>
        <stp>XOM US Equity</stp>
        <stp>IS_TOT_CASH_PFD_DVD</stp>
        <stp>FQ1 2005</stp>
        <stp>FQ1 2005</stp>
        <stp>[FA1_ivyerigx.xlsx]Income - Adjusted!R25C29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2"/>
      </tp>
      <tp>
        <v>9294</v>
        <stp/>
        <stp>##V3_BDHV12</stp>
        <stp>XOM US Equity</stp>
        <stp>FREE_CASH_FLOW_EQUITY</stp>
        <stp>FQ2 2008</stp>
        <stp>FQ2 2008</stp>
        <stp>[FA1_ivyerigx.xlsx]Cash Flow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4"/>
      </tp>
      <tp>
        <v>7738</v>
        <stp/>
        <stp>##V3_BDHV12</stp>
        <stp>XOM US Equity</stp>
        <stp>FREE_CASH_FLOW_EQUITY</stp>
        <stp>FQ4 2004</stp>
        <stp>FQ4 2004</stp>
        <stp>[FA1_ivyerigx.xlsx]Cash Flow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4"/>
      </tp>
      <tp>
        <v>-7453</v>
        <stp/>
        <stp>##V3_BDHV12</stp>
        <stp>XOM US Equity</stp>
        <stp>PROC_FR_REPURCH_EQTY_DETAILED</stp>
        <stp>FQ3 2007</stp>
        <stp>FQ3 2007</stp>
        <stp>[FA1_ivyerigx.xlsx]Cash Flow - Standardized!R30C39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4"/>
      </tp>
      <tp>
        <v>6.8689</v>
        <stp/>
        <stp>##V3_BDHV12</stp>
        <stp>XOM US Equity</stp>
        <stp>REVENUE_PER_SH</stp>
        <stp>FQ1 2000</stp>
        <stp>FQ1 2000</stp>
        <stp>[FA1_ivyerigx.xlsx]Per Share!R11C9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1" s="5"/>
      </tp>
      <tp>
        <v>0</v>
        <stp/>
        <stp>##V3_BDHV12</stp>
        <stp>XOM US Equity</stp>
        <stp>IS_TOT_CASH_PFD_DVD</stp>
        <stp>FQ2 2007</stp>
        <stp>FQ2 2007</stp>
        <stp>[FA1_ivyerigx.xlsx]Income - Adjusted!R25C38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2"/>
      </tp>
      <tp>
        <v>-7843</v>
        <stp/>
        <stp>##V3_BDHV12</stp>
        <stp>XOM US Equity</stp>
        <stp>PROC_FR_REPURCH_EQTY_DETAILED</stp>
        <stp>FQ3 2006</stp>
        <stp>FQ3 2006</stp>
        <stp>[FA1_ivyerigx.xlsx]Cash Flow - Standardized!R30C35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4"/>
      </tp>
      <tp>
        <v>-1730</v>
        <stp/>
        <stp>##V3_BDHV12</stp>
        <stp>XOM US Equity</stp>
        <stp>PROC_FR_REPURCH_EQTY_DETAILED</stp>
        <stp>FQ2 2004</stp>
        <stp>FQ2 2004</stp>
        <stp>[FA1_ivyerigx.xlsx]Cash Flow - Standardized!R30C26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4"/>
      </tp>
      <tp>
        <v>-1056</v>
        <stp/>
        <stp>##V3_BDHV12</stp>
        <stp>XOM US Equity</stp>
        <stp>PROC_FR_REPURCH_EQTY_DETAILED</stp>
        <stp>FQ2 2003</stp>
        <stp>FQ2 2003</stp>
        <stp>[FA1_ivyerigx.xlsx]Cash Flow - Standardized!R30C22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4"/>
      </tp>
      <tp>
        <v>-1370</v>
        <stp/>
        <stp>##V3_BDHV12</stp>
        <stp>XOM US Equity</stp>
        <stp>PROC_FR_REPURCH_EQTY_DETAILED</stp>
        <stp>FQ1 2001</stp>
        <stp>FQ1 2001</stp>
        <stp>[FA1_ivyerigx.xlsx]Cash Flow - Standardized!R30C13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4"/>
      </tp>
      <tp>
        <v>-7737</v>
        <stp/>
        <stp>##V3_BDHV12</stp>
        <stp>XOM US Equity</stp>
        <stp>PROC_FR_REPURCH_EQTY_DETAILED</stp>
        <stp>FQ4 2007</stp>
        <stp>FQ4 2007</stp>
        <stp>[FA1_ivyerigx.xlsx]Cash Flow - Standardized!R30C40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4"/>
      </tp>
      <tp>
        <v>3505</v>
        <stp/>
        <stp>##V3_BDHV12</stp>
        <stp>XOM US Equity</stp>
        <stp>FREE_CASH_FLOW_EQUITY</stp>
        <stp>FQ4 2002</stp>
        <stp>FQ4 2002</stp>
        <stp>[FA1_ivyerigx.xlsx]Cash Flow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4"/>
      </tp>
      <tp t="s">
        <v>—</v>
        <stp/>
        <stp>##V3_BDHV12</stp>
        <stp>XOM US Equity</stp>
        <stp>IS_TOT_CASH_PFD_DVD</stp>
        <stp>FQ3 2006</stp>
        <stp>FQ3 2006</stp>
        <stp>[FA1_ivyerigx.xlsx]Income - Adjusted!R25C35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2"/>
      </tp>
      <tp>
        <v>-1317</v>
        <stp/>
        <stp>##V3_BDHV12</stp>
        <stp>XOM US Equity</stp>
        <stp>PROC_FR_REPURCH_EQTY_DETAILED</stp>
        <stp>FQ1 2002</stp>
        <stp>FQ1 2002</stp>
        <stp>[FA1_ivyerigx.xlsx]Cash Flow - Standardized!R30C17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4"/>
      </tp>
      <tp>
        <v>-5289</v>
        <stp/>
        <stp>##V3_BDHV12</stp>
        <stp>XOM US Equity</stp>
        <stp>PROC_FR_REPURCH_EQTY_DETAILED</stp>
        <stp>FQ3 2005</stp>
        <stp>FQ3 2005</stp>
        <stp>[FA1_ivyerigx.xlsx]Cash Flow - Standardized!R30C31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4"/>
      </tp>
      <tp>
        <v>3024</v>
        <stp/>
        <stp>##V3_BDHV12</stp>
        <stp>XOM US Equity</stp>
        <stp>FREE_CASH_FLOW_EQUITY</stp>
        <stp>FQ4 2003</stp>
        <stp>FQ4 2003</stp>
        <stp>[FA1_ivyerigx.xlsx]Cash Flow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4"/>
      </tp>
      <tp>
        <v>83700</v>
        <stp/>
        <stp>##V3_BDHV12</stp>
        <stp>XOM US Equity</stp>
        <stp>NUM_OF_EMPLOYEES</stp>
        <stp>FQ4 2005</stp>
        <stp>FQ4 2005</stp>
        <stp>[FA1_ivyerigx.xlsx]Bal Sheet - Standardized!R65C32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5" s="3"/>
      </tp>
      <tp>
        <v>80800</v>
        <stp/>
        <stp>##V3_BDHV12</stp>
        <stp>XOM US Equity</stp>
        <stp>NUM_OF_EMPLOYEES</stp>
        <stp>FQ4 2007</stp>
        <stp>FQ4 2007</stp>
        <stp>[FA1_ivyerigx.xlsx]Bal Sheet - Standardized!R65C40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5" s="3"/>
      </tp>
      <tp t="s">
        <v>—</v>
        <stp/>
        <stp>##V3_BDHV12</stp>
        <stp>XOM US Equity</stp>
        <stp>NUM_OF_EMPLOYEES</stp>
        <stp>FQ4 2001</stp>
        <stp>FQ4 2001</stp>
        <stp>[FA1_ivyerigx.xlsx]Bal Sheet - Standardized!R65C16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5" s="3"/>
      </tp>
      <tp t="s">
        <v>—</v>
        <stp/>
        <stp>##V3_BDHV12</stp>
        <stp>XOM US Equity</stp>
        <stp>NUM_OF_EMPLOYEES</stp>
        <stp>FQ1 2001</stp>
        <stp>FQ1 2001</stp>
        <stp>[FA1_ivyerigx.xlsx]Bal Sheet - Standardized!R65C13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5" s="3"/>
      </tp>
      <tp t="s">
        <v>—</v>
        <stp/>
        <stp>##V3_BDHV12</stp>
        <stp>XOM US Equity</stp>
        <stp>NUM_OF_EMPLOYEES</stp>
        <stp>FQ4 2003</stp>
        <stp>FQ4 2003</stp>
        <stp>[FA1_ivyerigx.xlsx]Bal Sheet - Standardized!R65C24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5" s="3"/>
      </tp>
      <tp t="s">
        <v>—</v>
        <stp/>
        <stp>##V3_BDHV12</stp>
        <stp>XOM US Equity</stp>
        <stp>NUM_OF_EMPLOYEES</stp>
        <stp>FQ1 2003</stp>
        <stp>FQ1 2003</stp>
        <stp>[FA1_ivyerigx.xlsx]Bal Sheet - Standardized!R65C21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5" s="3"/>
      </tp>
      <tp t="s">
        <v>—</v>
        <stp/>
        <stp>##V3_BDHV12</stp>
        <stp>XOM US Equity</stp>
        <stp>NUM_OF_EMPLOYEES</stp>
        <stp>FQ3 2003</stp>
        <stp>FQ3 2003</stp>
        <stp>[FA1_ivyerigx.xlsx]Bal Sheet - Standardized!R65C23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5" s="3"/>
      </tp>
      <tp t="s">
        <v>—</v>
        <stp/>
        <stp>##V3_BDHV12</stp>
        <stp>XOM US Equity</stp>
        <stp>NUM_OF_EMPLOYEES</stp>
        <stp>FQ2 2003</stp>
        <stp>FQ2 2003</stp>
        <stp>[FA1_ivyerigx.xlsx]Bal Sheet - Standardized!R65C22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5" s="3"/>
      </tp>
      <tp>
        <v>0.63</v>
        <stp/>
        <stp>##V3_BDHV12</stp>
        <stp>XOM US Equity</stp>
        <stp>IS_BASIC_EPS_CONT_OPS</stp>
        <stp>FQ2 2003</stp>
        <stp>FQ2 2003</stp>
        <stp>[FA1_ivyerigx.xlsx]Income - Adjusted!R36C22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6" s="2"/>
      </tp>
      <tp>
        <v>0.6</v>
        <stp/>
        <stp>##V3_BDHV12</stp>
        <stp>XOM US Equity</stp>
        <stp>IS_BASIC_EPS_CONT_OPS</stp>
        <stp>FQ3 2000</stp>
        <stp>FQ3 2000</stp>
        <stp>[FA1_ivyerigx.xlsx]Income - Adjusted!R36C11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6" s="2"/>
      </tp>
      <tp>
        <v>0.83</v>
        <stp/>
        <stp>##V3_BDHV12</stp>
        <stp>XOM US Equity</stp>
        <stp>IS_BASIC_EPS_CONT_OPS</stp>
        <stp>FQ1 2004</stp>
        <stp>FQ1 2004</stp>
        <stp>[FA1_ivyerigx.xlsx]Income - Adjusted!R36C25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6" s="2"/>
      </tp>
      <tp>
        <v>6787</v>
        <stp/>
        <stp>##V3_BDHV12</stp>
        <stp>XOM US Equity</stp>
        <stp>IS_SH_FOR_DILUTED_EPS</stp>
        <stp>FQ3 2002</stp>
        <stp>FQ3 2002</stp>
        <stp>[FA1_ivyerigx.xlsx]Income - Adjusted!R38C19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8" s="2"/>
      </tp>
      <tp>
        <v>11.0997</v>
        <stp/>
        <stp>##V3_BDHV12</stp>
        <stp>XOM US Equity</stp>
        <stp>BOOK_VAL_PER_SH</stp>
        <stp>FQ3 2002</stp>
        <stp>FQ3 2002</stp>
        <stp>[FA1_ivyerigx.xlsx]Per Share!R26C19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6" s="5"/>
      </tp>
      <tp>
        <v>0.64500000000000002</v>
        <stp/>
        <stp>##V3_BDHV12</stp>
        <stp>XOM US Equity</stp>
        <stp>IS_DIL_EPS_CONT_OPS</stp>
        <stp>FQ4 1999</stp>
        <stp>FQ4 1999</stp>
        <stp>[FA1_ivyerigx.xlsx]Per Share!R19C8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9" s="5"/>
      </tp>
      <tp>
        <v>44.552799999999998</v>
        <stp/>
        <stp>##V3_BDHV12</stp>
        <stp>XOM US Equity</stp>
        <stp>PX_LAST</stp>
        <stp>FQ3 2000</stp>
        <stp>FQ3 2000</stp>
        <stp>[FA1_ivyerigx.xlsx]Stock Value!R6C11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" s="6"/>
      </tp>
      <tp>
        <v>63.54</v>
        <stp/>
        <stp>##V3_BDHV12</stp>
        <stp>XOM US Equity</stp>
        <stp>PX_LAST</stp>
        <stp>FQ3 2005</stp>
        <stp>FQ3 2005</stp>
        <stp>[FA1_ivyerigx.xlsx]Stock Value!R6C31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" s="6"/>
      </tp>
      <tp>
        <v>34.950000000000003</v>
        <stp/>
        <stp>##V3_BDHV12</stp>
        <stp>XOM US Equity</stp>
        <stp>PX_LAST</stp>
        <stp>FQ1 2003</stp>
        <stp>FQ1 2003</stp>
        <stp>[FA1_ivyerigx.xlsx]Stock Value!R6C21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" s="6"/>
      </tp>
      <tp>
        <v>84.58</v>
        <stp/>
        <stp>##V3_BDHV12</stp>
        <stp>XOM US Equity</stp>
        <stp>PX_LAST</stp>
        <stp>FQ1 2008</stp>
        <stp>FQ1 2008</stp>
        <stp>[FA1_ivyerigx.xlsx]Stock Value!R6C41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" s="6"/>
      </tp>
      <tp>
        <v>0.32</v>
        <stp/>
        <stp>##V3_BDHV12</stp>
        <stp>XOM US Equity</stp>
        <stp>EQY_DPS</stp>
        <stp>FQ1 2007</stp>
        <stp>FQ1 2007</stp>
        <stp>[FA1_ivyerigx.xlsx]Income - Adjusted!R53C37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3" s="2"/>
      </tp>
      <tp>
        <v>0.22</v>
        <stp/>
        <stp>##V3_BDHV12</stp>
        <stp>XOM US Equity</stp>
        <stp>EQY_DPS</stp>
        <stp>FQ2 2000</stp>
        <stp>FQ2 2000</stp>
        <stp>[FA1_ivyerigx.xlsx]Income - Adjusted!R53C10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3" s="2"/>
      </tp>
      <tp>
        <v>0.25</v>
        <stp/>
        <stp>##V3_BDHV12</stp>
        <stp>XOM US Equity</stp>
        <stp>EQY_DPS</stp>
        <stp>FQ3 2003</stp>
        <stp>FQ3 2003</stp>
        <stp>[FA1_ivyerigx.xlsx]Income - Adjusted!R53C23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3" s="2"/>
      </tp>
      <tp>
        <v>0.32</v>
        <stp/>
        <stp>##V3_BDHV12</stp>
        <stp>XOM US Equity</stp>
        <stp>EQY_DPS</stp>
        <stp>FQ4 2006</stp>
        <stp>FQ4 2006</stp>
        <stp>[FA1_ivyerigx.xlsx]Income - Adjusted!R53C36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3" s="2"/>
      </tp>
      <tp>
        <v>-16841</v>
        <stp/>
        <stp>##V3_BDHV12</stp>
        <stp>XOM US Equity</stp>
        <stp>NET_DEBT</stp>
        <stp>FQ1 2005</stp>
        <stp>FQ1 2005</stp>
        <stp>[FA1_ivyerigx.xlsx]Bal Sheet - Standardized!R60C29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60" s="3"/>
      </tp>
      <tp>
        <v>5609</v>
        <stp/>
        <stp>##V3_BDHV12</stp>
        <stp>XOM US Equity</stp>
        <stp>NET_DEBT</stp>
        <stp>FQ2 2002</stp>
        <stp>FQ2 2002</stp>
        <stp>[FA1_ivyerigx.xlsx]Bal Sheet - Standardized!R60C18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60" s="3"/>
      </tp>
      <tp>
        <v>1881</v>
        <stp/>
        <stp>##V3_BDHV12</stp>
        <stp>XOM US Equity</stp>
        <stp>NET_DEBT</stp>
        <stp>FQ2 2001</stp>
        <stp>FQ2 2001</stp>
        <stp>[FA1_ivyerigx.xlsx]Bal Sheet - Standardized!R60C14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60" s="3"/>
      </tp>
      <tp>
        <v>192</v>
        <stp/>
        <stp>##V3_BDHV12</stp>
        <stp>XOM US Equity</stp>
        <stp>CF_TAX_BENEFIT_FRM_STOCK_OPTIONS</stp>
        <stp>FQ4 2006</stp>
        <stp>FQ4 2006</stp>
        <stp>[FA1_ivyerigx.xlsx]Cash Flow - Standardized!R45C36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5" s="4"/>
      </tp>
      <tp>
        <v>8763</v>
        <stp/>
        <stp>##V3_BDHV12</stp>
        <stp>XOM US Equity</stp>
        <stp>NET_DEBT</stp>
        <stp>FQ2 2000</stp>
        <stp>FQ2 2000</stp>
        <stp>[FA1_ivyerigx.xlsx]Bal Sheet - Standardized!R60C10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60" s="3"/>
      </tp>
      <tp>
        <v>-1667</v>
        <stp/>
        <stp>##V3_BDHV12</stp>
        <stp>XOM US Equity</stp>
        <stp>NET_DEBT</stp>
        <stp>FQ1 2003</stp>
        <stp>FQ1 2003</stp>
        <stp>[FA1_ivyerigx.xlsx]Bal Sheet - Standardized!R60C21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60" s="3"/>
      </tp>
      <tp t="s">
        <v>—</v>
        <stp/>
        <stp>##V3_BDHV12</stp>
        <stp>XOM US Equity</stp>
        <stp>CF_TAX_BENEFIT_FRM_STOCK_OPTIONS</stp>
        <stp>FQ4 2005</stp>
        <stp>FQ4 2005</stp>
        <stp>[FA1_ivyerigx.xlsx]Cash Flow - Standardized!R45C32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5" s="4"/>
      </tp>
      <tp>
        <v>-5925</v>
        <stp/>
        <stp>##V3_BDHV12</stp>
        <stp>XOM US Equity</stp>
        <stp>NET_DEBT</stp>
        <stp>FQ1 2004</stp>
        <stp>FQ1 2004</stp>
        <stp>[FA1_ivyerigx.xlsx]Bal Sheet - Standardized!R60C25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60" s="3"/>
      </tp>
      <tp>
        <v>6700</v>
        <stp/>
        <stp>##V3_BDHV12</stp>
        <stp>XOM US Equity</stp>
        <stp>BS_SH_OUT</stp>
        <stp>FQ4 2002</stp>
        <stp>FQ4 2002</stp>
        <stp>[FA1_ivyerigx.xlsx]Bal Sheet - Standardized!R53C20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3" s="3"/>
      </tp>
      <tp>
        <v>2.7537000000000003</v>
        <stp/>
        <stp>##V3_BDHV12</stp>
        <stp>XOM US Equity</stp>
        <stp>CASH_FLOW_PER_SH</stp>
        <stp>FQ3 2007</stp>
        <stp>FQ3 2007</stp>
        <stp>[FA1_ivyerigx.xlsx]Per Share!R22C39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2" s="5"/>
      </tp>
      <tp>
        <v>6930</v>
        <stp/>
        <stp>##V3_BDHV12</stp>
        <stp>XOM US Equity</stp>
        <stp>BS_SH_OUT</stp>
        <stp>FQ4 2000</stp>
        <stp>FQ4 2000</stp>
        <stp>[FA1_ivyerigx.xlsx]Bal Sheet - Standardized!R53C12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3" s="3"/>
      </tp>
      <tp>
        <v>0</v>
        <stp/>
        <stp>##V3_BDHV12</stp>
        <stp>XOM US Equity</stp>
        <stp>NET_CHG_IN_LT_INVEST_DETAILED</stp>
        <stp>FQ2 2000</stp>
        <stp>FQ2 2000</stp>
        <stp>[FA1_ivyerigx.xlsx]Cash Flow - Standardized!R21C10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1" s="4"/>
      </tp>
      <tp>
        <v>0</v>
        <stp/>
        <stp>##V3_BDHV12</stp>
        <stp>XOM US Equity</stp>
        <stp>NET_CHG_IN_LT_INVEST_DETAILED</stp>
        <stp>FQ1 2003</stp>
        <stp>FQ1 2003</stp>
        <stp>[FA1_ivyerigx.xlsx]Cash Flow - Standardized!R21C21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1" s="4"/>
      </tp>
      <tp>
        <v>0</v>
        <stp/>
        <stp>##V3_BDHV12</stp>
        <stp>XOM US Equity</stp>
        <stp>NET_CHG_IN_LT_INVEST_DETAILED</stp>
        <stp>FQ1 2004</stp>
        <stp>FQ1 2004</stp>
        <stp>[FA1_ivyerigx.xlsx]Cash Flow - Standardized!R21C25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1" s="4"/>
      </tp>
      <tp>
        <v>0</v>
        <stp/>
        <stp>##V3_BDHV12</stp>
        <stp>XOM US Equity</stp>
        <stp>NET_CHG_IN_LT_INVEST_DETAILED</stp>
        <stp>FQ2 2001</stp>
        <stp>FQ2 2001</stp>
        <stp>[FA1_ivyerigx.xlsx]Cash Flow - Standardized!R21C14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1" s="4"/>
      </tp>
      <tp>
        <v>0</v>
        <stp/>
        <stp>##V3_BDHV12</stp>
        <stp>XOM US Equity</stp>
        <stp>NET_CHG_IN_LT_INVEST_DETAILED</stp>
        <stp>FQ2 2002</stp>
        <stp>FQ2 2002</stp>
        <stp>[FA1_ivyerigx.xlsx]Cash Flow - Standardized!R21C18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1" s="4"/>
      </tp>
      <tp>
        <v>0</v>
        <stp/>
        <stp>##V3_BDHV12</stp>
        <stp>XOM US Equity</stp>
        <stp>NET_CHG_IN_LT_INVEST_DETAILED</stp>
        <stp>FQ1 2005</stp>
        <stp>FQ1 2005</stp>
        <stp>[FA1_ivyerigx.xlsx]Cash Flow - Standardized!R21C29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1" s="4"/>
      </tp>
      <tp>
        <v>184</v>
        <stp/>
        <stp>##V3_BDHV12</stp>
        <stp>XOM US Equity</stp>
        <stp>CF_ACT_CASH_PAID_FOR_INT_DEBT</stp>
        <stp>FQ1 2008</stp>
        <stp>FQ1 2008</stp>
        <stp>[FA1_ivyerigx.xlsx]Cash Flow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4"/>
      </tp>
      <tp>
        <v>31279</v>
        <stp/>
        <stp>##V3_BDHV12</stp>
        <stp>XOM US Equity</stp>
        <stp>GROSS_PROFIT</stp>
        <stp>FQ4 1999</stp>
        <stp>FQ4 1999</stp>
        <stp>[FA1_ivyerigx.xlsx]Income - Adjusted!R8C8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2"/>
      </tp>
      <tp>
        <v>-2883</v>
        <stp/>
        <stp>##V3_BDHV12</stp>
        <stp>XOM US Equity</stp>
        <stp>CF_DVD_PAID</stp>
        <stp>FQ4 1999</stp>
        <stp>FQ4 1999</stp>
        <stp>[FA1_ivyerigx.xlsx]Cash Flow - Standardized!R28C8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8" s="4"/>
      </tp>
      <tp>
        <v>-852</v>
        <stp/>
        <stp>##V3_BDHV12</stp>
        <stp>XOM US Equity</stp>
        <stp>CF_DVD_PAID</stp>
        <stp>FQ3 1998</stp>
        <stp>FQ3 1998</stp>
        <stp>[FA1_ivyerigx.xlsx]Cash Flow - Standardized!R28C3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8" s="4"/>
      </tp>
      <tp>
        <v>-2829</v>
        <stp/>
        <stp>##V3_BDHV12</stp>
        <stp>XOM US Equity</stp>
        <stp>CF_DVD_PAID</stp>
        <stp>FQ4 1998</stp>
        <stp>FQ4 1998</stp>
        <stp>[FA1_ivyerigx.xlsx]Cash Flow - Standardized!R28C4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8" s="4"/>
      </tp>
      <tp>
        <v>139</v>
        <stp/>
        <stp>##V3_BDHV12</stp>
        <stp>XOM US Equity</stp>
        <stp>CF_ACT_CASH_PAID_FOR_INT_DEBT</stp>
        <stp>FQ4 2000</stp>
        <stp>FQ4 2000</stp>
        <stp>[FA1_ivyerigx.xlsx]Cash Flow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4"/>
      </tp>
      <tp>
        <v>-998</v>
        <stp/>
        <stp>##V3_BDHV12</stp>
        <stp>XOM US Equity</stp>
        <stp>CF_DVD_PAID</stp>
        <stp>FQ1 1999</stp>
        <stp>FQ1 1999</stp>
        <stp>[FA1_ivyerigx.xlsx]Cash Flow - Standardized!R28C5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8" s="4"/>
      </tp>
      <tp>
        <v>-995</v>
        <stp/>
        <stp>##V3_BDHV12</stp>
        <stp>XOM US Equity</stp>
        <stp>CF_DVD_PAID</stp>
        <stp>FQ3 1999</stp>
        <stp>FQ3 1999</stp>
        <stp>[FA1_ivyerigx.xlsx]Cash Flow - Standardized!R28C7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8" s="4"/>
      </tp>
      <tp>
        <v>-996</v>
        <stp/>
        <stp>##V3_BDHV12</stp>
        <stp>XOM US Equity</stp>
        <stp>CF_DVD_PAID</stp>
        <stp>FQ2 1999</stp>
        <stp>FQ2 1999</stp>
        <stp>[FA1_ivyerigx.xlsx]Cash Flow - Standardized!R28C6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8" s="4"/>
      </tp>
      <tp>
        <v>159</v>
        <stp/>
        <stp>##V3_BDHV12</stp>
        <stp>XOM US Equity</stp>
        <stp>CF_ACT_CASH_PAID_FOR_INT_DEBT</stp>
        <stp>FQ4 2001</stp>
        <stp>FQ4 2001</stp>
        <stp>[FA1_ivyerigx.xlsx]Cash Flow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4"/>
      </tp>
      <tp>
        <v>-408</v>
        <stp/>
        <stp>##V3_BDHV12</stp>
        <stp>XOM US Equity</stp>
        <stp>CF_NET_CHNG_CASH</stp>
        <stp>FQ4 1999</stp>
        <stp>FQ4 1999</stp>
        <stp>[FA1_ivyerigx.xlsx]Cash Flow - Standardized!R36C8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6" s="4"/>
      </tp>
      <tp>
        <v>-588</v>
        <stp/>
        <stp>##V3_BDHV12</stp>
        <stp>XOM US Equity</stp>
        <stp>CF_NET_CHNG_CASH</stp>
        <stp>FQ3 1998</stp>
        <stp>FQ3 1998</stp>
        <stp>[FA1_ivyerigx.xlsx]Cash Flow - Standardized!R36C3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6" s="4"/>
      </tp>
      <tp>
        <v>-834</v>
        <stp/>
        <stp>##V3_BDHV12</stp>
        <stp>XOM US Equity</stp>
        <stp>CF_NET_CHNG_CASH</stp>
        <stp>FQ4 1998</stp>
        <stp>FQ4 1998</stp>
        <stp>[FA1_ivyerigx.xlsx]Cash Flow - Standardized!R36C4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6" s="4"/>
      </tp>
      <tp>
        <v>-177</v>
        <stp/>
        <stp>##V3_BDHV12</stp>
        <stp>XOM US Equity</stp>
        <stp>CF_NET_CHNG_CASH</stp>
        <stp>FQ3 1999</stp>
        <stp>FQ3 1999</stp>
        <stp>[FA1_ivyerigx.xlsx]Cash Flow - Standardized!R36C7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6" s="4"/>
      </tp>
      <tp>
        <v>1.72</v>
        <stp/>
        <stp>##V3_BDHV12</stp>
        <stp>XOM US Equity</stp>
        <stp>IS_BASIC_EPS_CONT_OPS</stp>
        <stp>FQ3 2007</stp>
        <stp>FQ3 2007</stp>
        <stp>[FA1_ivyerigx.xlsx]Income - Adjusted!R36C39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6" s="2"/>
      </tp>
      <tp>
        <v>-57</v>
        <stp/>
        <stp>##V3_BDHV12</stp>
        <stp>XOM US Equity</stp>
        <stp>CF_NET_CHNG_CASH</stp>
        <stp>FQ2 1999</stp>
        <stp>FQ2 1999</stp>
        <stp>[FA1_ivyerigx.xlsx]Cash Flow - Standardized!R36C6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6" s="4"/>
      </tp>
      <tp>
        <v>-56</v>
        <stp/>
        <stp>##V3_BDHV12</stp>
        <stp>XOM US Equity</stp>
        <stp>CF_NET_CHNG_CASH</stp>
        <stp>FQ1 1999</stp>
        <stp>FQ1 1999</stp>
        <stp>[FA1_ivyerigx.xlsx]Cash Flow - Standardized!R36C5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6" s="4"/>
      </tp>
      <tp>
        <v>6303</v>
        <stp/>
        <stp>##V3_BDHV12</stp>
        <stp>XOM US Equity</stp>
        <stp>IS_SH_FOR_DILUTED_EPS</stp>
        <stp>FQ3 2005</stp>
        <stp>FQ3 2005</stp>
        <stp>[FA1_ivyerigx.xlsx]Income - Adjusted!R38C31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8" s="2"/>
      </tp>
      <tp>
        <v>6924</v>
        <stp/>
        <stp>##V3_BDHV12</stp>
        <stp>XOM US Equity</stp>
        <stp>IS_SH_FOR_DILUTED_EPS</stp>
        <stp>FQ3 2001</stp>
        <stp>FQ3 2001</stp>
        <stp>[FA1_ivyerigx.xlsx]Income - Adjusted!R38C15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8" s="2"/>
      </tp>
      <tp>
        <v>17.338999999999999</v>
        <stp/>
        <stp>##V3_BDHV12</stp>
        <stp>XOM US Equity</stp>
        <stp>BOOK_VAL_PER_SH</stp>
        <stp>FQ3 2005</stp>
        <stp>FQ3 2005</stp>
        <stp>[FA1_ivyerigx.xlsx]Per Share!R26C31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6" s="5"/>
      </tp>
      <tp>
        <v>10.793100000000001</v>
        <stp/>
        <stp>##V3_BDHV12</stp>
        <stp>XOM US Equity</stp>
        <stp>BOOK_VAL_PER_SH</stp>
        <stp>FQ3 2001</stp>
        <stp>FQ3 2001</stp>
        <stp>[FA1_ivyerigx.xlsx]Per Share!R26C15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6" s="5"/>
      </tp>
      <tp t="s">
        <v>—</v>
        <stp/>
        <stp>##V3_BDHV12</stp>
        <stp>XOM US Equity</stp>
        <stp>IS_NET_INTEREST_EXPENSE</stp>
        <stp>FQ4 1999</stp>
        <stp>FQ4 1999</stp>
        <stp>[FA1_ivyerigx.xlsx]Income - Adjusted!R13C8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-1322</v>
        <stp/>
        <stp>##V3_BDHV12</stp>
        <stp>XOM US Equity</stp>
        <stp>OTHER_INS_RES_TO_SHRHLDR_EQY</stp>
        <stp>FQ3 1999</stp>
        <stp>FQ3 1999</stp>
        <stp>[FA1_ivyerigx.xlsx]Bal Sheet - Standardized!R45C7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5" s="3"/>
      </tp>
      <tp>
        <v>-1881</v>
        <stp/>
        <stp>##V3_BDHV12</stp>
        <stp>XOM US Equity</stp>
        <stp>OTHER_INS_RES_TO_SHRHLDR_EQY</stp>
        <stp>FQ2 1999</stp>
        <stp>FQ2 1999</stp>
        <stp>[FA1_ivyerigx.xlsx]Bal Sheet - Standardized!R45C6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5" s="3"/>
      </tp>
      <tp>
        <v>-1723</v>
        <stp/>
        <stp>##V3_BDHV12</stp>
        <stp>XOM US Equity</stp>
        <stp>OTHER_INS_RES_TO_SHRHLDR_EQY</stp>
        <stp>FQ1 1999</stp>
        <stp>FQ1 1999</stp>
        <stp>[FA1_ivyerigx.xlsx]Bal Sheet - Standardized!R45C5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5" s="3"/>
      </tp>
      <tp>
        <v>39.25</v>
        <stp/>
        <stp>##V3_BDHV12</stp>
        <stp>XOM US Equity</stp>
        <stp>PX_LAST</stp>
        <stp>FQ2 2000</stp>
        <stp>FQ2 2000</stp>
        <stp>[FA1_ivyerigx.xlsx]Stock Value!R6C10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" s="6"/>
      </tp>
      <tp>
        <v>57.47</v>
        <stp/>
        <stp>##V3_BDHV12</stp>
        <stp>XOM US Equity</stp>
        <stp>PX_LAST</stp>
        <stp>FQ2 2005</stp>
        <stp>FQ2 2005</stp>
        <stp>[FA1_ivyerigx.xlsx]Stock Value!R6C30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" s="6"/>
      </tp>
      <tp>
        <v>93.69</v>
        <stp/>
        <stp>##V3_BDHV12</stp>
        <stp>XOM US Equity</stp>
        <stp>PX_LAST</stp>
        <stp>FQ4 2007</stp>
        <stp>FQ4 2007</stp>
        <stp>[FA1_ivyerigx.xlsx]Stock Value!R6C40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" s="6"/>
      </tp>
      <tp>
        <v>34.94</v>
        <stp/>
        <stp>##V3_BDHV12</stp>
        <stp>XOM US Equity</stp>
        <stp>PX_LAST</stp>
        <stp>FQ4 2002</stp>
        <stp>FQ4 2002</stp>
        <stp>[FA1_ivyerigx.xlsx]Stock Value!R6C20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" s="6"/>
      </tp>
      <tp>
        <v>0.25</v>
        <stp/>
        <stp>##V3_BDHV12</stp>
        <stp>XOM US Equity</stp>
        <stp>EQY_DPS</stp>
        <stp>FQ1 2004</stp>
        <stp>FQ1 2004</stp>
        <stp>[FA1_ivyerigx.xlsx]Income - Adjusted!R53C25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3" s="2"/>
      </tp>
      <tp>
        <v>0.25</v>
        <stp/>
        <stp>##V3_BDHV12</stp>
        <stp>XOM US Equity</stp>
        <stp>EQY_DPS</stp>
        <stp>FQ2 2003</stp>
        <stp>FQ2 2003</stp>
        <stp>[FA1_ivyerigx.xlsx]Income - Adjusted!R53C22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3" s="2"/>
      </tp>
      <tp>
        <v>0.22</v>
        <stp/>
        <stp>##V3_BDHV12</stp>
        <stp>XOM US Equity</stp>
        <stp>EQY_DPS</stp>
        <stp>FQ3 2000</stp>
        <stp>FQ3 2000</stp>
        <stp>[FA1_ivyerigx.xlsx]Income - Adjusted!R53C11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3" s="2"/>
      </tp>
      <tp>
        <v>3946</v>
        <stp/>
        <stp>##V3_BDHV12</stp>
        <stp>XOM US Equity</stp>
        <stp>NET_DEBT</stp>
        <stp>FQ3 2002</stp>
        <stp>FQ3 2002</stp>
        <stp>[FA1_ivyerigx.xlsx]Bal Sheet - Standardized!R60C19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60" s="3"/>
      </tp>
      <tp>
        <v>150</v>
        <stp/>
        <stp>##V3_BDHV12</stp>
        <stp>XOM US Equity</stp>
        <stp>CF_TAX_BENEFIT_FRM_STOCK_OPTIONS</stp>
        <stp>FQ2 2008</stp>
        <stp>FQ2 2008</stp>
        <stp>[FA1_ivyerigx.xlsx]Cash Flow - Standardized!R45C42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5" s="4"/>
      </tp>
      <tp t="s">
        <v>—</v>
        <stp/>
        <stp>##V3_BDHV12</stp>
        <stp>XOM US Equity</stp>
        <stp>CF_TAX_BENEFIT_FRM_STOCK_OPTIONS</stp>
        <stp>FQ4 2004</stp>
        <stp>FQ4 2004</stp>
        <stp>[FA1_ivyerigx.xlsx]Cash Flow - Standardized!R45C28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5" s="4"/>
      </tp>
      <tp t="s">
        <v>—</v>
        <stp/>
        <stp>##V3_BDHV12</stp>
        <stp>XOM US Equity</stp>
        <stp>CF_TAX_BENEFIT_FRM_STOCK_OPTIONS</stp>
        <stp>FQ4 2002</stp>
        <stp>FQ4 2002</stp>
        <stp>[FA1_ivyerigx.xlsx]Cash Flow - Standardized!R45C20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5" s="4"/>
      </tp>
      <tp>
        <v>2107</v>
        <stp/>
        <stp>##V3_BDHV12</stp>
        <stp>XOM US Equity</stp>
        <stp>NET_DEBT</stp>
        <stp>FQ3 2001</stp>
        <stp>FQ3 2001</stp>
        <stp>[FA1_ivyerigx.xlsx]Bal Sheet - Standardized!R60C15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60" s="3"/>
      </tp>
      <tp>
        <v>-23951</v>
        <stp/>
        <stp>##V3_BDHV12</stp>
        <stp>XOM US Equity</stp>
        <stp>NET_DEBT</stp>
        <stp>FQ1 2006</stp>
        <stp>FQ1 2006</stp>
        <stp>[FA1_ivyerigx.xlsx]Bal Sheet - Standardized!R60C33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60" s="3"/>
      </tp>
      <tp>
        <v>7595</v>
        <stp/>
        <stp>##V3_BDHV12</stp>
        <stp>XOM US Equity</stp>
        <stp>NET_DEBT</stp>
        <stp>FQ3 2000</stp>
        <stp>FQ3 2000</stp>
        <stp>[FA1_ivyerigx.xlsx]Bal Sheet - Standardized!R60C11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60" s="3"/>
      </tp>
      <tp t="s">
        <v>—</v>
        <stp/>
        <stp>##V3_BDHV12</stp>
        <stp>XOM US Equity</stp>
        <stp>CF_TAX_BENEFIT_FRM_STOCK_OPTIONS</stp>
        <stp>FQ4 2003</stp>
        <stp>FQ4 2003</stp>
        <stp>[FA1_ivyerigx.xlsx]Cash Flow - Standardized!R45C24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5" s="4"/>
      </tp>
      <tp>
        <v>-21230</v>
        <stp/>
        <stp>##V3_BDHV12</stp>
        <stp>XOM US Equity</stp>
        <stp>NET_DEBT</stp>
        <stp>FQ1 2007</stp>
        <stp>FQ1 2007</stp>
        <stp>[FA1_ivyerigx.xlsx]Bal Sheet - Standardized!R60C37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60" s="3"/>
      </tp>
      <tp>
        <v>2.0373999999999999</v>
        <stp/>
        <stp>##V3_BDHV12</stp>
        <stp>XOM US Equity</stp>
        <stp>CASH_FLOW_PER_SH</stp>
        <stp>FQ2 2007</stp>
        <stp>FQ2 2007</stp>
        <stp>[FA1_ivyerigx.xlsx]Per Share!R22C38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2" s="5"/>
      </tp>
      <tp>
        <v>6840</v>
        <stp/>
        <stp>##V3_BDHV12</stp>
        <stp>XOM US Equity</stp>
        <stp>BS_SH_OUT</stp>
        <stp>FQ3 2001</stp>
        <stp>FQ3 2001</stp>
        <stp>[FA1_ivyerigx.xlsx]Bal Sheet - Standardized!R53C15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3" s="3"/>
      </tp>
      <tp>
        <v>6835.0789999999997</v>
        <stp/>
        <stp>##V3_BDHV12</stp>
        <stp>XOM US Equity</stp>
        <stp>BS_SH_OUT</stp>
        <stp>FQ2 2001</stp>
        <stp>FQ2 2001</stp>
        <stp>[FA1_ivyerigx.xlsx]Bal Sheet - Standardized!R53C14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3" s="3"/>
      </tp>
      <tp>
        <v>6222.3957</v>
        <stp/>
        <stp>##V3_BDHV12</stp>
        <stp>XOM US Equity</stp>
        <stp>BS_SH_OUT</stp>
        <stp>FQ3 2005</stp>
        <stp>FQ3 2005</stp>
        <stp>[FA1_ivyerigx.xlsx]Bal Sheet - Standardized!R53C31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3" s="3"/>
      </tp>
      <tp>
        <v>6305.1315999999997</v>
        <stp/>
        <stp>##V3_BDHV12</stp>
        <stp>XOM US Equity</stp>
        <stp>BS_SH_OUT</stp>
        <stp>FQ2 2005</stp>
        <stp>FQ2 2005</stp>
        <stp>[FA1_ivyerigx.xlsx]Bal Sheet - Standardized!R53C30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3" s="3"/>
      </tp>
      <tp>
        <v>0</v>
        <stp/>
        <stp>##V3_BDHV12</stp>
        <stp>XOM US Equity</stp>
        <stp>NET_CHG_IN_LT_INVEST_DETAILED</stp>
        <stp>FQ3 2000</stp>
        <stp>FQ3 2000</stp>
        <stp>[FA1_ivyerigx.xlsx]Cash Flow - Standardized!R21C11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1" s="4"/>
      </tp>
      <tp>
        <v>0</v>
        <stp/>
        <stp>##V3_BDHV12</stp>
        <stp>XOM US Equity</stp>
        <stp>NET_CHG_IN_LT_INVEST_DETAILED</stp>
        <stp>FQ1 2007</stp>
        <stp>FQ1 2007</stp>
        <stp>[FA1_ivyerigx.xlsx]Cash Flow - Standardized!R21C37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1" s="4"/>
      </tp>
      <tp>
        <v>0</v>
        <stp/>
        <stp>##V3_BDHV12</stp>
        <stp>XOM US Equity</stp>
        <stp>NET_CHG_IN_LT_INVEST_DETAILED</stp>
        <stp>FQ3 2001</stp>
        <stp>FQ3 2001</stp>
        <stp>[FA1_ivyerigx.xlsx]Cash Flow - Standardized!R21C15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1" s="4"/>
      </tp>
      <tp>
        <v>0</v>
        <stp/>
        <stp>##V3_BDHV12</stp>
        <stp>XOM US Equity</stp>
        <stp>NET_CHG_IN_LT_INVEST_DETAILED</stp>
        <stp>FQ1 2006</stp>
        <stp>FQ1 2006</stp>
        <stp>[FA1_ivyerigx.xlsx]Cash Flow - Standardized!R21C33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1" s="4"/>
      </tp>
      <tp>
        <v>0</v>
        <stp/>
        <stp>##V3_BDHV12</stp>
        <stp>XOM US Equity</stp>
        <stp>NET_CHG_IN_LT_INVEST_DETAILED</stp>
        <stp>FQ3 2002</stp>
        <stp>FQ3 2002</stp>
        <stp>[FA1_ivyerigx.xlsx]Cash Flow - Standardized!R21C19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1" s="4"/>
      </tp>
      <tp>
        <v>0</v>
        <stp/>
        <stp>##V3_BDHV12</stp>
        <stp>XOM US Equity</stp>
        <stp>BS_PFD_EQTY_&amp;_HYBRID_CPTL</stp>
        <stp>FQ4 1999</stp>
        <stp>FQ4 1999</stp>
        <stp>[FA1_ivyerigx.xlsx]Bal Sheet - Standardized!R41C8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1" s="3"/>
      </tp>
      <tp>
        <v>44</v>
        <stp/>
        <stp>##V3_BDHV12</stp>
        <stp>XOM US Equity</stp>
        <stp>BS_PFD_EQTY_&amp;_HYBRID_CPTL</stp>
        <stp>FQ2 1999</stp>
        <stp>FQ2 1999</stp>
        <stp>[FA1_ivyerigx.xlsx]Bal Sheet - Standardized!R41C6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1" s="3"/>
      </tp>
      <tp>
        <v>31</v>
        <stp/>
        <stp>##V3_BDHV12</stp>
        <stp>XOM US Equity</stp>
        <stp>BS_PFD_EQTY_&amp;_HYBRID_CPTL</stp>
        <stp>FQ3 1999</stp>
        <stp>FQ3 1999</stp>
        <stp>[FA1_ivyerigx.xlsx]Bal Sheet - Standardized!R41C7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1" s="3"/>
      </tp>
      <tp>
        <v>91</v>
        <stp/>
        <stp>##V3_BDHV12</stp>
        <stp>XOM US Equity</stp>
        <stp>BS_PFD_EQTY_&amp;_HYBRID_CPTL</stp>
        <stp>FQ1 1999</stp>
        <stp>FQ1 1999</stp>
        <stp>[FA1_ivyerigx.xlsx]Bal Sheet - Standardized!R41C5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1" s="3"/>
      </tp>
      <tp>
        <v>119</v>
        <stp/>
        <stp>##V3_BDHV12</stp>
        <stp>XOM US Equity</stp>
        <stp>BS_PFD_EQTY_&amp;_HYBRID_CPTL</stp>
        <stp>FQ3 1998</stp>
        <stp>FQ3 1998</stp>
        <stp>[FA1_ivyerigx.xlsx]Bal Sheet - Standardized!R41C3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1" s="3"/>
      </tp>
      <tp>
        <v>105</v>
        <stp/>
        <stp>##V3_BDHV12</stp>
        <stp>XOM US Equity</stp>
        <stp>BS_PFD_EQTY_&amp;_HYBRID_CPTL</stp>
        <stp>FQ4 1998</stp>
        <stp>FQ4 1998</stp>
        <stp>[FA1_ivyerigx.xlsx]Bal Sheet - Standardized!R41C4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1" s="3"/>
      </tp>
      <tp t="s">
        <v>—</v>
        <stp/>
        <stp>##V3_BDHV12</stp>
        <stp>XOM US Equity</stp>
        <stp>NUM_OF_EMPLOYEES</stp>
        <stp>FQ1 2005</stp>
        <stp>FQ1 2005</stp>
        <stp>[FA1_ivyerigx.xlsx]Bal Sheet - Standardized!R65C29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5" s="3"/>
      </tp>
      <tp t="s">
        <v>—</v>
        <stp/>
        <stp>##V3_BDHV12</stp>
        <stp>XOM US Equity</stp>
        <stp>NUM_OF_EMPLOYEES</stp>
        <stp>FQ2 2007</stp>
        <stp>FQ2 2007</stp>
        <stp>[FA1_ivyerigx.xlsx]Bal Sheet - Standardized!R65C38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5" s="3"/>
      </tp>
      <tp t="s">
        <v>—</v>
        <stp/>
        <stp>##V3_BDHV12</stp>
        <stp>XOM US Equity</stp>
        <stp>NUM_OF_EMPLOYEES</stp>
        <stp>FQ3 2007</stp>
        <stp>FQ3 2007</stp>
        <stp>[FA1_ivyerigx.xlsx]Bal Sheet - Standardized!R65C39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5" s="3"/>
      </tp>
      <tp>
        <v>1.85</v>
        <stp/>
        <stp>##V3_BDHV12</stp>
        <stp>XOM US Equity</stp>
        <stp>IS_BASIC_EPS_CONT_OPS</stp>
        <stp>FQ2 2007</stp>
        <stp>FQ2 2007</stp>
        <stp>[FA1_ivyerigx.xlsx]Income - Adjusted!R36C38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6" s="2"/>
      </tp>
      <tp>
        <v>6126</v>
        <stp/>
        <stp>##V3_BDHV12</stp>
        <stp>XOM US Equity</stp>
        <stp>IS_SH_FOR_DILUTED_EPS</stp>
        <stp>FQ1 2006</stp>
        <stp>FQ1 2006</stp>
        <stp>[FA1_ivyerigx.xlsx]Income - Adjusted!R38C33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8" s="2"/>
      </tp>
      <tp>
        <v>6858</v>
        <stp/>
        <stp>##V3_BDHV12</stp>
        <stp>XOM US Equity</stp>
        <stp>IS_SH_FOR_DILUTED_EPS</stp>
        <stp>FQ1 2002</stp>
        <stp>FQ1 2002</stp>
        <stp>[FA1_ivyerigx.xlsx]Income - Adjusted!R38C17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8" s="2"/>
      </tp>
      <tp>
        <v>6370</v>
        <stp/>
        <stp>##V3_BDHV12</stp>
        <stp>XOM US Equity</stp>
        <stp>IS_SH_FOR_DILUTED_EPS</stp>
        <stp>FQ2 2005</stp>
        <stp>FQ2 2005</stp>
        <stp>[FA1_ivyerigx.xlsx]Income - Adjusted!R38C30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8" s="2"/>
      </tp>
      <tp>
        <v>6963</v>
        <stp/>
        <stp>##V3_BDHV12</stp>
        <stp>XOM US Equity</stp>
        <stp>IS_SH_FOR_DILUTED_EPS</stp>
        <stp>FQ2 2001</stp>
        <stp>FQ2 2001</stp>
        <stp>[FA1_ivyerigx.xlsx]Income - Adjusted!R38C14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8" s="2"/>
      </tp>
      <tp>
        <v>18.588899999999999</v>
        <stp/>
        <stp>##V3_BDHV12</stp>
        <stp>XOM US Equity</stp>
        <stp>BOOK_VAL_PER_SH</stp>
        <stp>FQ1 2006</stp>
        <stp>FQ1 2006</stp>
        <stp>[FA1_ivyerigx.xlsx]Per Share!R26C33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6" s="5"/>
      </tp>
      <tp>
        <v>10.670500000000001</v>
        <stp/>
        <stp>##V3_BDHV12</stp>
        <stp>XOM US Equity</stp>
        <stp>BOOK_VAL_PER_SH</stp>
        <stp>FQ1 2002</stp>
        <stp>FQ1 2002</stp>
        <stp>[FA1_ivyerigx.xlsx]Per Share!R26C17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6" s="5"/>
      </tp>
      <tp>
        <v>16.588999999999999</v>
        <stp/>
        <stp>##V3_BDHV12</stp>
        <stp>XOM US Equity</stp>
        <stp>BOOK_VAL_PER_SH</stp>
        <stp>FQ2 2005</stp>
        <stp>FQ2 2005</stp>
        <stp>[FA1_ivyerigx.xlsx]Per Share!R26C30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6" s="5"/>
      </tp>
      <tp>
        <v>10.676399999999999</v>
        <stp/>
        <stp>##V3_BDHV12</stp>
        <stp>XOM US Equity</stp>
        <stp>BOOK_VAL_PER_SH</stp>
        <stp>FQ2 2001</stp>
        <stp>FQ2 2001</stp>
        <stp>[FA1_ivyerigx.xlsx]Per Share!R26C14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6" s="5"/>
      </tp>
      <tp>
        <v>36.6</v>
        <stp/>
        <stp>##V3_BDHV12</stp>
        <stp>XOM US Equity</stp>
        <stp>PX_LAST</stp>
        <stp>FQ3 2003</stp>
        <stp>FQ3 2003</stp>
        <stp>[FA1_ivyerigx.xlsx]Stock Value!R6C23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" s="6"/>
      </tp>
      <tp>
        <v>40.5</v>
        <stp/>
        <stp>##V3_BDHV12</stp>
        <stp>XOM US Equity</stp>
        <stp>PX_LAST</stp>
        <stp>FQ1 2001</stp>
        <stp>FQ1 2001</stp>
        <stp>[FA1_ivyerigx.xlsx]Stock Value!R6C13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" s="6"/>
      </tp>
      <tp>
        <v>60.86</v>
        <stp/>
        <stp>##V3_BDHV12</stp>
        <stp>XOM US Equity</stp>
        <stp>PX_LAST</stp>
        <stp>FQ1 2006</stp>
        <stp>FQ1 2006</stp>
        <stp>[FA1_ivyerigx.xlsx]Stock Value!R6C33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" s="6"/>
      </tp>
      <tp>
        <v>0.23</v>
        <stp/>
        <stp>##V3_BDHV12</stp>
        <stp>XOM US Equity</stp>
        <stp>EQY_DPS</stp>
        <stp>FQ1 2003</stp>
        <stp>FQ1 2003</stp>
        <stp>[FA1_ivyerigx.xlsx]Income - Adjusted!R53C21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3" s="2"/>
      </tp>
      <tp>
        <v>0.22</v>
        <stp/>
        <stp>##V3_BDHV12</stp>
        <stp>XOM US Equity</stp>
        <stp>EQY_DPS</stp>
        <stp>FQ1 2001</stp>
        <stp>FQ1 2001</stp>
        <stp>[FA1_ivyerigx.xlsx]Income - Adjusted!R53C13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3" s="2"/>
      </tp>
      <tp>
        <v>0.27</v>
        <stp/>
        <stp>##V3_BDHV12</stp>
        <stp>XOM US Equity</stp>
        <stp>EQY_DPS</stp>
        <stp>FQ2 2004</stp>
        <stp>FQ2 2004</stp>
        <stp>[FA1_ivyerigx.xlsx]Income - Adjusted!R53C26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3" s="2"/>
      </tp>
      <tp>
        <v>0.32</v>
        <stp/>
        <stp>##V3_BDHV12</stp>
        <stp>XOM US Equity</stp>
        <stp>EQY_DPS</stp>
        <stp>FQ2 2006</stp>
        <stp>FQ2 2006</stp>
        <stp>[FA1_ivyerigx.xlsx]Income - Adjusted!R53C34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3" s="2"/>
      </tp>
      <tp>
        <v>0.23</v>
        <stp/>
        <stp>##V3_BDHV12</stp>
        <stp>XOM US Equity</stp>
        <stp>EQY_DPS</stp>
        <stp>FQ4 2002</stp>
        <stp>FQ4 2002</stp>
        <stp>[FA1_ivyerigx.xlsx]Income - Adjusted!R53C20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3" s="2"/>
      </tp>
      <tp>
        <v>0.22</v>
        <stp/>
        <stp>##V3_BDHV12</stp>
        <stp>XOM US Equity</stp>
        <stp>EQY_DPS</stp>
        <stp>FQ4 2000</stp>
        <stp>FQ4 2000</stp>
        <stp>[FA1_ivyerigx.xlsx]Income - Adjusted!R53C12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3" s="2"/>
      </tp>
      <tp>
        <v>-20169</v>
        <stp/>
        <stp>##V3_BDHV12</stp>
        <stp>XOM US Equity</stp>
        <stp>NET_DEBT</stp>
        <stp>FQ2 2007</stp>
        <stp>FQ2 2007</stp>
        <stp>[FA1_ivyerigx.xlsx]Bal Sheet - Standardized!R60C38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60" s="3"/>
      </tp>
      <tp t="s">
        <v>—</v>
        <stp/>
        <stp>##V3_BDHV12</stp>
        <stp>XOM US Equity</stp>
        <stp>CF_TAX_BENEFIT_FRM_STOCK_OPTIONS</stp>
        <stp>FQ1 2008</stp>
        <stp>FQ1 2008</stp>
        <stp>[FA1_ivyerigx.xlsx]Cash Flow - Standardized!R45C41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5" s="4"/>
      </tp>
      <tp t="s">
        <v>—</v>
        <stp/>
        <stp>##V3_BDHV12</stp>
        <stp>XOM US Equity</stp>
        <stp>CF_TAX_BENEFIT_FRM_STOCK_OPTIONS</stp>
        <stp>FQ4 2000</stp>
        <stp>FQ4 2000</stp>
        <stp>[FA1_ivyerigx.xlsx]Cash Flow - Standardized!R45C12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5" s="4"/>
      </tp>
      <tp>
        <v>-16562</v>
        <stp/>
        <stp>##V3_BDHV12</stp>
        <stp>XOM US Equity</stp>
        <stp>NET_DEBT</stp>
        <stp>FQ2 2005</stp>
        <stp>FQ2 2005</stp>
        <stp>[FA1_ivyerigx.xlsx]Bal Sheet - Standardized!R60C30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60" s="3"/>
      </tp>
      <tp>
        <v>-1396</v>
        <stp/>
        <stp>##V3_BDHV12</stp>
        <stp>XOM US Equity</stp>
        <stp>NET_DEBT</stp>
        <stp>FQ3 2003</stp>
        <stp>FQ3 2003</stp>
        <stp>[FA1_ivyerigx.xlsx]Bal Sheet - Standardized!R60C23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60" s="3"/>
      </tp>
      <tp t="s">
        <v>—</v>
        <stp/>
        <stp>##V3_BDHV12</stp>
        <stp>XOM US Equity</stp>
        <stp>CF_TAX_BENEFIT_FRM_STOCK_OPTIONS</stp>
        <stp>FQ4 2001</stp>
        <stp>FQ4 2001</stp>
        <stp>[FA1_ivyerigx.xlsx]Cash Flow - Standardized!R45C16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5" s="4"/>
      </tp>
      <tp>
        <v>-23756</v>
        <stp/>
        <stp>##V3_BDHV12</stp>
        <stp>XOM US Equity</stp>
        <stp>NET_DEBT</stp>
        <stp>FQ2 2006</stp>
        <stp>FQ2 2006</stp>
        <stp>[FA1_ivyerigx.xlsx]Bal Sheet - Standardized!R60C34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60" s="3"/>
      </tp>
      <tp>
        <v>-5999</v>
        <stp/>
        <stp>##V3_BDHV12</stp>
        <stp>XOM US Equity</stp>
        <stp>NET_DEBT</stp>
        <stp>FQ3 2004</stp>
        <stp>FQ3 2004</stp>
        <stp>[FA1_ivyerigx.xlsx]Bal Sheet - Standardized!R60C27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60" s="3"/>
      </tp>
      <tp>
        <v>6782</v>
        <stp/>
        <stp>##V3_BDHV12</stp>
        <stp>XOM US Equity</stp>
        <stp>BS_SH_OUT</stp>
        <stp>FQ1 2002</stp>
        <stp>FQ1 2002</stp>
        <stp>[FA1_ivyerigx.xlsx]Bal Sheet - Standardized!R53C17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3" s="3"/>
      </tp>
      <tp>
        <v>2.0373999999999999</v>
        <stp/>
        <stp>##V3_BDHV12</stp>
        <stp>XOM US Equity</stp>
        <stp>CASH_FLOW_PER_SH</stp>
        <stp>FQ1 2005</stp>
        <stp>FQ1 2005</stp>
        <stp>[FA1_ivyerigx.xlsx]Per Share!R22C29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2" s="5"/>
      </tp>
      <tp>
        <v>1.9198</v>
        <stp/>
        <stp>##V3_BDHV12</stp>
        <stp>XOM US Equity</stp>
        <stp>CASH_FLOW_PER_SH</stp>
        <stp>FQ4 2004</stp>
        <stp>FQ4 2004</stp>
        <stp>[FA1_ivyerigx.xlsx]Per Share!R22C28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2" s="5"/>
      </tp>
      <tp>
        <v>5729</v>
        <stp/>
        <stp>##V3_BDHV12</stp>
        <stp>XOM US Equity</stp>
        <stp>BS_SH_OUT</stp>
        <stp>FQ4 2006</stp>
        <stp>FQ4 2006</stp>
        <stp>[FA1_ivyerigx.xlsx]Bal Sheet - Standardized!R53C36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3" s="3"/>
      </tp>
      <tp>
        <v>6050</v>
        <stp/>
        <stp>##V3_BDHV12</stp>
        <stp>XOM US Equity</stp>
        <stp>BS_SH_OUT</stp>
        <stp>FQ1 2006</stp>
        <stp>FQ1 2006</stp>
        <stp>[FA1_ivyerigx.xlsx]Bal Sheet - Standardized!R53C33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3" s="3"/>
      </tp>
      <tp>
        <v>0.495</v>
        <stp/>
        <stp>##V3_BDHV12</stp>
        <stp>XOM US Equity</stp>
        <stp>IS_DILUTED_EPS</stp>
        <stp>FQ1 2000</stp>
        <stp>FQ1 2000</stp>
        <stp>[FA1_ivyerigx.xlsx]Income - Adjusted!R39C9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9" s="2"/>
      </tp>
      <tp>
        <v>2347.0426000000002</v>
        <stp/>
        <stp>##V3_BDHV12</stp>
        <stp>XOM US Equity</stp>
        <stp>CF_FREE_CASH_FLOW_FIRM</stp>
        <stp>FQ4 1999</stp>
        <stp>FQ4 1999</stp>
        <stp>[FA1_ivyerigx.xlsx]Cash Flow - Standardized!R47C8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7" s="4"/>
      </tp>
      <tp>
        <v>0</v>
        <stp/>
        <stp>##V3_BDHV12</stp>
        <stp>XOM US Equity</stp>
        <stp>NET_CHG_IN_LT_INVEST_DETAILED</stp>
        <stp>FQ3 2003</stp>
        <stp>FQ3 2003</stp>
        <stp>[FA1_ivyerigx.xlsx]Cash Flow - Standardized!R21C23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1" s="4"/>
      </tp>
      <tp>
        <v>0</v>
        <stp/>
        <stp>##V3_BDHV12</stp>
        <stp>XOM US Equity</stp>
        <stp>NET_CHG_IN_LT_INVEST_DETAILED</stp>
        <stp>FQ3 2004</stp>
        <stp>FQ3 2004</stp>
        <stp>[FA1_ivyerigx.xlsx]Cash Flow - Standardized!R21C27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1" s="4"/>
      </tp>
      <tp>
        <v>0</v>
        <stp/>
        <stp>##V3_BDHV12</stp>
        <stp>XOM US Equity</stp>
        <stp>NET_CHG_IN_LT_INVEST_DETAILED</stp>
        <stp>FQ2 2006</stp>
        <stp>FQ2 2006</stp>
        <stp>[FA1_ivyerigx.xlsx]Cash Flow - Standardized!R21C34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1" s="4"/>
      </tp>
      <tp>
        <v>0</v>
        <stp/>
        <stp>##V3_BDHV12</stp>
        <stp>XOM US Equity</stp>
        <stp>NET_CHG_IN_LT_INVEST_DETAILED</stp>
        <stp>FQ2 2005</stp>
        <stp>FQ2 2005</stp>
        <stp>[FA1_ivyerigx.xlsx]Cash Flow - Standardized!R21C30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1" s="4"/>
      </tp>
      <tp>
        <v>0</v>
        <stp/>
        <stp>##V3_BDHV12</stp>
        <stp>XOM US Equity</stp>
        <stp>NET_CHG_IN_LT_INVEST_DETAILED</stp>
        <stp>FQ2 2007</stp>
        <stp>FQ2 2007</stp>
        <stp>[FA1_ivyerigx.xlsx]Cash Flow - Standardized!R21C38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1" s="4"/>
      </tp>
      <tp>
        <v>283</v>
        <stp/>
        <stp>##V3_BDHV12</stp>
        <stp>XOM US Equity</stp>
        <stp>CF_ACT_CASH_PAID_FOR_INT_DEBT</stp>
        <stp>FQ4 2006</stp>
        <stp>FQ4 2006</stp>
        <stp>[FA1_ivyerigx.xlsx]Cash Flow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4"/>
      </tp>
      <tp>
        <v>112</v>
        <stp/>
        <stp>##V3_BDHV12</stp>
        <stp>XOM US Equity</stp>
        <stp>CF_ACT_CASH_PAID_FOR_INT_DEBT</stp>
        <stp>FQ4 2005</stp>
        <stp>FQ4 2005</stp>
        <stp>[FA1_ivyerigx.xlsx]Cash Flow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4"/>
      </tp>
      <tp>
        <v>1.1599999999999999</v>
        <stp/>
        <stp>##V3_BDHV12</stp>
        <stp>XOM US Equity</stp>
        <stp>IS_BASIC_EPS_CONT_OPS</stp>
        <stp>FQ1 2005</stp>
        <stp>FQ1 2005</stp>
        <stp>[FA1_ivyerigx.xlsx]Income - Adjusted!R36C29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6" s="2"/>
      </tp>
      <tp>
        <v>1.31</v>
        <stp/>
        <stp>##V3_BDHV12</stp>
        <stp>XOM US Equity</stp>
        <stp>IS_BASIC_EPS_CONT_OPS</stp>
        <stp>FQ4 2004</stp>
        <stp>FQ4 2004</stp>
        <stp>[FA1_ivyerigx.xlsx]Income - Adjusted!R36C28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6" s="2"/>
      </tp>
      <tp>
        <v>0.31</v>
        <stp/>
        <stp>##V3_BDHV12</stp>
        <stp>XOM US Equity</stp>
        <stp>IS_DIL_EPS_CONT_OPS</stp>
        <stp>FQ4 1998</stp>
        <stp>FQ4 1998</stp>
        <stp>[FA1_ivyerigx.xlsx]Per Share!R19C4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9" s="5"/>
      </tp>
      <tp>
        <v>0.28999999999999998</v>
        <stp/>
        <stp>##V3_BDHV12</stp>
        <stp>XOM US Equity</stp>
        <stp>IS_DIL_EPS_CONT_OPS</stp>
        <stp>FQ3 1998</stp>
        <stp>FQ3 1998</stp>
        <stp>[FA1_ivyerigx.xlsx]Per Share!R19C3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9" s="5"/>
      </tp>
      <tp>
        <v>3480</v>
        <stp/>
        <stp>##V3_BDHV12</stp>
        <stp>XOM US Equity</stp>
        <stp>EARN_FOR_COMMON</stp>
        <stp>FQ1 2000</stp>
        <stp>FQ1 2000</stp>
        <stp>[FA1_ivyerigx.xlsx]Income - Adjusted!R29C9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29" s="2"/>
      </tp>
      <tp>
        <v>35.909999999999997</v>
        <stp/>
        <stp>##V3_BDHV12</stp>
        <stp>XOM US Equity</stp>
        <stp>PX_LAST</stp>
        <stp>FQ2 2003</stp>
        <stp>FQ2 2003</stp>
        <stp>[FA1_ivyerigx.xlsx]Stock Value!R6C22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" s="6"/>
      </tp>
      <tp>
        <v>88.13</v>
        <stp/>
        <stp>##V3_BDHV12</stp>
        <stp>XOM US Equity</stp>
        <stp>PX_LAST</stp>
        <stp>FQ2 2008</stp>
        <stp>FQ2 2008</stp>
        <stp>[FA1_ivyerigx.xlsx]Stock Value!R6C42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" s="6"/>
      </tp>
      <tp t="s">
        <v>—</v>
        <stp/>
        <stp>##V3_BDHV12</stp>
        <stp>XOM US Equity</stp>
        <stp>BS_OPTIONS_OUTSTANDING</stp>
        <stp>FQ1 2008</stp>
        <stp>FQ1 2008</stp>
        <stp>[FA1_ivyerigx.xlsx]Bal Sheet - Standardized!R59C41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9" s="3"/>
      </tp>
      <tp t="s">
        <v>—</v>
        <stp/>
        <stp>##V3_BDHV12</stp>
        <stp>XOM US Equity</stp>
        <stp>BS_OPTIONS_OUTSTANDING</stp>
        <stp>FQ2 2008</stp>
        <stp>FQ2 2008</stp>
        <stp>[FA1_ivyerigx.xlsx]Bal Sheet - Standardized!R59C42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9" s="3"/>
      </tp>
      <tp>
        <v>56.17</v>
        <stp/>
        <stp>##V3_BDHV12</stp>
        <stp>XOM US Equity</stp>
        <stp>PX_LAST</stp>
        <stp>FQ4 2005</stp>
        <stp>FQ4 2005</stp>
        <stp>[FA1_ivyerigx.xlsx]Stock Value!R6C32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" s="6"/>
      </tp>
      <tp>
        <v>43.468800000000002</v>
        <stp/>
        <stp>##V3_BDHV12</stp>
        <stp>XOM US Equity</stp>
        <stp>PX_LAST</stp>
        <stp>FQ4 2000</stp>
        <stp>FQ4 2000</stp>
        <stp>[FA1_ivyerigx.xlsx]Stock Value!R6C12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" s="6"/>
      </tp>
      <tp t="s">
        <v>—</v>
        <stp/>
        <stp>##V3_BDHV12</stp>
        <stp>XOM US Equity</stp>
        <stp>BS_OPTIONS_OUTSTANDING</stp>
        <stp>FQ2 2002</stp>
        <stp>FQ2 2002</stp>
        <stp>[FA1_ivyerigx.xlsx]Bal Sheet - Standardized!R59C18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9" s="3"/>
      </tp>
      <tp t="s">
        <v>—</v>
        <stp/>
        <stp>##V3_BDHV12</stp>
        <stp>XOM US Equity</stp>
        <stp>BS_OPTIONS_OUTSTANDING</stp>
        <stp>FQ3 2002</stp>
        <stp>FQ3 2002</stp>
        <stp>[FA1_ivyerigx.xlsx]Bal Sheet - Standardized!R59C19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9" s="3"/>
      </tp>
      <tp>
        <v>180.91200000000001</v>
        <stp/>
        <stp>##V3_BDHV12</stp>
        <stp>XOM US Equity</stp>
        <stp>BS_OPTIONS_OUTSTANDING</stp>
        <stp>FQ4 2004</stp>
        <stp>FQ4 2004</stp>
        <stp>[FA1_ivyerigx.xlsx]Bal Sheet - Standardized!R59C28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9" s="3"/>
      </tp>
      <tp>
        <v>0.27</v>
        <stp/>
        <stp>##V3_BDHV12</stp>
        <stp>XOM US Equity</stp>
        <stp>EQY_DPS</stp>
        <stp>FQ3 2004</stp>
        <stp>FQ3 2004</stp>
        <stp>[FA1_ivyerigx.xlsx]Income - Adjusted!R53C27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3" s="2"/>
      </tp>
      <tp>
        <v>0.32</v>
        <stp/>
        <stp>##V3_BDHV12</stp>
        <stp>XOM US Equity</stp>
        <stp>EQY_DPS</stp>
        <stp>FQ3 2006</stp>
        <stp>FQ3 2006</stp>
        <stp>[FA1_ivyerigx.xlsx]Income - Adjusted!R53C35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3" s="2"/>
      </tp>
      <tp>
        <v>-22622</v>
        <stp/>
        <stp>##V3_BDHV12</stp>
        <stp>XOM US Equity</stp>
        <stp>NET_DEBT</stp>
        <stp>FQ3 2007</stp>
        <stp>FQ3 2007</stp>
        <stp>[FA1_ivyerigx.xlsx]Bal Sheet - Standardized!R60C39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60" s="3"/>
      </tp>
      <tp>
        <v>-20783</v>
        <stp/>
        <stp>##V3_BDHV12</stp>
        <stp>XOM US Equity</stp>
        <stp>NET_DEBT</stp>
        <stp>FQ3 2005</stp>
        <stp>FQ3 2005</stp>
        <stp>[FA1_ivyerigx.xlsx]Bal Sheet - Standardized!R60C31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60" s="3"/>
      </tp>
      <tp>
        <v>3891</v>
        <stp/>
        <stp>##V3_BDHV12</stp>
        <stp>XOM US Equity</stp>
        <stp>NET_DEBT</stp>
        <stp>FQ1 2002</stp>
        <stp>FQ1 2002</stp>
        <stp>[FA1_ivyerigx.xlsx]Bal Sheet - Standardized!R60C17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60" s="3"/>
      </tp>
      <tp>
        <v>-24934</v>
        <stp/>
        <stp>##V3_BDHV12</stp>
        <stp>XOM US Equity</stp>
        <stp>NET_DEBT</stp>
        <stp>FQ4 2007</stp>
        <stp>FQ4 2007</stp>
        <stp>[FA1_ivyerigx.xlsx]Bal Sheet - Standardized!R60C40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60" s="3"/>
      </tp>
      <tp>
        <v>-2383</v>
        <stp/>
        <stp>##V3_BDHV12</stp>
        <stp>XOM US Equity</stp>
        <stp>NET_DEBT</stp>
        <stp>FQ2 2003</stp>
        <stp>FQ2 2003</stp>
        <stp>[FA1_ivyerigx.xlsx]Bal Sheet - Standardized!R60C22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60" s="3"/>
      </tp>
      <tp>
        <v>1924</v>
        <stp/>
        <stp>##V3_BDHV12</stp>
        <stp>XOM US Equity</stp>
        <stp>NET_DEBT</stp>
        <stp>FQ1 2001</stp>
        <stp>FQ1 2001</stp>
        <stp>[FA1_ivyerigx.xlsx]Bal Sheet - Standardized!R60C13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60" s="3"/>
      </tp>
      <tp>
        <v>-24145</v>
        <stp/>
        <stp>##V3_BDHV12</stp>
        <stp>XOM US Equity</stp>
        <stp>NET_DEBT</stp>
        <stp>FQ3 2006</stp>
        <stp>FQ3 2006</stp>
        <stp>[FA1_ivyerigx.xlsx]Bal Sheet - Standardized!R60C35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60" s="3"/>
      </tp>
      <tp>
        <v>-4347</v>
        <stp/>
        <stp>##V3_BDHV12</stp>
        <stp>XOM US Equity</stp>
        <stp>NET_DEBT</stp>
        <stp>FQ2 2004</stp>
        <stp>FQ2 2004</stp>
        <stp>[FA1_ivyerigx.xlsx]Bal Sheet - Standardized!R60C26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60" s="3"/>
      </tp>
      <tp>
        <v>47.691000000000003</v>
        <stp/>
        <stp>##V3_BDHV12</stp>
        <stp>XOM US Equity</stp>
        <stp>TCE_RATIO</stp>
        <stp>FQ1 2008</stp>
        <stp>FQ1 2008</stp>
        <stp>[FA1_ivyerigx.xlsx]Bal Sheet - Standardized!R62C41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2" s="3"/>
      </tp>
      <tp>
        <v>46.793700000000001</v>
        <stp/>
        <stp>##V3_BDHV12</stp>
        <stp>XOM US Equity</stp>
        <stp>TCE_RATIO</stp>
        <stp>FQ2 2008</stp>
        <stp>FQ2 2008</stp>
        <stp>[FA1_ivyerigx.xlsx]Bal Sheet - Standardized!R62C42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2" s="3"/>
      </tp>
      <tp>
        <v>50.676000000000002</v>
        <stp/>
        <stp>##V3_BDHV12</stp>
        <stp>XOM US Equity</stp>
        <stp>TCE_RATIO</stp>
        <stp>FQ2 2002</stp>
        <stp>FQ2 2002</stp>
        <stp>[FA1_ivyerigx.xlsx]Bal Sheet - Standardized!R62C18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2" s="3"/>
      </tp>
      <tp>
        <v>49.968899999999998</v>
        <stp/>
        <stp>##V3_BDHV12</stp>
        <stp>XOM US Equity</stp>
        <stp>TCE_RATIO</stp>
        <stp>FQ3 2002</stp>
        <stp>FQ3 2002</stp>
        <stp>[FA1_ivyerigx.xlsx]Bal Sheet - Standardized!R62C19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2" s="3"/>
      </tp>
      <tp>
        <v>52.114100000000001</v>
        <stp/>
        <stp>##V3_BDHV12</stp>
        <stp>XOM US Equity</stp>
        <stp>TCE_RATIO</stp>
        <stp>FQ4 2004</stp>
        <stp>FQ4 2004</stp>
        <stp>[FA1_ivyerigx.xlsx]Bal Sheet - Standardized!R62C28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2" s="3"/>
      </tp>
      <tp>
        <v>0</v>
        <stp/>
        <stp>##V3_BDHV12</stp>
        <stp>XOM US Equity</stp>
        <stp>NET_CHG_IN_LT_INVEST_DETAILED</stp>
        <stp>FQ4 2007</stp>
        <stp>FQ4 2007</stp>
        <stp>[FA1_ivyerigx.xlsx]Cash Flow - Standardized!R21C40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1" s="4"/>
      </tp>
      <tp>
        <v>0</v>
        <stp/>
        <stp>##V3_BDHV12</stp>
        <stp>XOM US Equity</stp>
        <stp>NET_CHG_IN_LT_INVEST_DETAILED</stp>
        <stp>FQ1 2001</stp>
        <stp>FQ1 2001</stp>
        <stp>[FA1_ivyerigx.xlsx]Cash Flow - Standardized!R21C13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1" s="4"/>
      </tp>
      <tp>
        <v>0</v>
        <stp/>
        <stp>##V3_BDHV12</stp>
        <stp>XOM US Equity</stp>
        <stp>NET_CHG_IN_LT_INVEST_DETAILED</stp>
        <stp>FQ2 2003</stp>
        <stp>FQ2 2003</stp>
        <stp>[FA1_ivyerigx.xlsx]Cash Flow - Standardized!R21C22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1" s="4"/>
      </tp>
      <tp>
        <v>0</v>
        <stp/>
        <stp>##V3_BDHV12</stp>
        <stp>XOM US Equity</stp>
        <stp>NET_CHG_IN_LT_INVEST_DETAILED</stp>
        <stp>FQ2 2004</stp>
        <stp>FQ2 2004</stp>
        <stp>[FA1_ivyerigx.xlsx]Cash Flow - Standardized!R21C26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1" s="4"/>
      </tp>
      <tp>
        <v>0</v>
        <stp/>
        <stp>##V3_BDHV12</stp>
        <stp>XOM US Equity</stp>
        <stp>NET_CHG_IN_LT_INVEST_DETAILED</stp>
        <stp>FQ3 2006</stp>
        <stp>FQ3 2006</stp>
        <stp>[FA1_ivyerigx.xlsx]Cash Flow - Standardized!R21C35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1" s="4"/>
      </tp>
      <tp>
        <v>0</v>
        <stp/>
        <stp>##V3_BDHV12</stp>
        <stp>XOM US Equity</stp>
        <stp>NET_CHG_IN_LT_INVEST_DETAILED</stp>
        <stp>FQ3 2005</stp>
        <stp>FQ3 2005</stp>
        <stp>[FA1_ivyerigx.xlsx]Cash Flow - Standardized!R21C31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1" s="4"/>
      </tp>
      <tp>
        <v>0</v>
        <stp/>
        <stp>##V3_BDHV12</stp>
        <stp>XOM US Equity</stp>
        <stp>NET_CHG_IN_LT_INVEST_DETAILED</stp>
        <stp>FQ1 2002</stp>
        <stp>FQ1 2002</stp>
        <stp>[FA1_ivyerigx.xlsx]Cash Flow - Standardized!R21C17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1" s="4"/>
      </tp>
      <tp>
        <v>0</v>
        <stp/>
        <stp>##V3_BDHV12</stp>
        <stp>XOM US Equity</stp>
        <stp>NET_CHG_IN_LT_INVEST_DETAILED</stp>
        <stp>FQ3 2007</stp>
        <stp>FQ3 2007</stp>
        <stp>[FA1_ivyerigx.xlsx]Cash Flow - Standardized!R21C39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1" s="4"/>
      </tp>
      <tp>
        <v>153</v>
        <stp/>
        <stp>##V3_BDHV12</stp>
        <stp>XOM US Equity</stp>
        <stp>CF_ACT_CASH_PAID_FOR_INT_DEBT</stp>
        <stp>FQ2 2008</stp>
        <stp>FQ2 2008</stp>
        <stp>[FA1_ivyerigx.xlsx]Cash Flow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4"/>
      </tp>
      <tp>
        <v>109</v>
        <stp/>
        <stp>##V3_BDHV12</stp>
        <stp>XOM US Equity</stp>
        <stp>CF_ACT_CASH_PAID_FOR_INT_DEBT</stp>
        <stp>FQ4 2004</stp>
        <stp>FQ4 2004</stp>
        <stp>[FA1_ivyerigx.xlsx]Cash Flow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4"/>
      </tp>
      <tp>
        <v>109</v>
        <stp/>
        <stp>##V3_BDHV12</stp>
        <stp>XOM US Equity</stp>
        <stp>CF_ACT_CASH_PAID_FOR_INT_DEBT</stp>
        <stp>FQ4 2002</stp>
        <stp>FQ4 2002</stp>
        <stp>[FA1_ivyerigx.xlsx]Cash Flow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4"/>
      </tp>
      <tp>
        <v>109</v>
        <stp/>
        <stp>##V3_BDHV12</stp>
        <stp>XOM US Equity</stp>
        <stp>CF_ACT_CASH_PAID_FOR_INT_DEBT</stp>
        <stp>FQ4 2003</stp>
        <stp>FQ4 2003</stp>
        <stp>[FA1_ivyerigx.xlsx]Cash Flow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4"/>
      </tp>
      <tp>
        <v>6889</v>
        <stp/>
        <stp>##V3_BDHV12</stp>
        <stp>XOM US Equity</stp>
        <stp>IS_SH_FOR_DILUTED_EPS</stp>
        <stp>FQ4 2001</stp>
        <stp>FQ4 2001</stp>
        <stp>[FA1_ivyerigx.xlsx]Income - Adjusted!R38C16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8" s="2"/>
      </tp>
      <tp>
        <v>6612</v>
        <stp/>
        <stp>##V3_BDHV12</stp>
        <stp>XOM US Equity</stp>
        <stp>IS_SH_FOR_DILUTED_EPS</stp>
        <stp>FQ4 2003</stp>
        <stp>FQ4 2003</stp>
        <stp>[FA1_ivyerigx.xlsx]Income - Adjusted!R38C24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8" s="2"/>
      </tp>
      <tp>
        <v>5454</v>
        <stp/>
        <stp>##V3_BDHV12</stp>
        <stp>XOM US Equity</stp>
        <stp>IS_SH_FOR_DILUTED_EPS</stp>
        <stp>FQ4 2007</stp>
        <stp>FQ4 2007</stp>
        <stp>[FA1_ivyerigx.xlsx]Income - Adjusted!R38C40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8" s="2"/>
      </tp>
      <tp>
        <v>6263</v>
        <stp/>
        <stp>##V3_BDHV12</stp>
        <stp>XOM US Equity</stp>
        <stp>IS_SH_FOR_DILUTED_EPS</stp>
        <stp>FQ4 2005</stp>
        <stp>FQ4 2005</stp>
        <stp>[FA1_ivyerigx.xlsx]Income - Adjusted!R38C32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8" s="2"/>
      </tp>
      <tp>
        <v>22.623899999999999</v>
        <stp/>
        <stp>##V3_BDHV12</stp>
        <stp>XOM US Equity</stp>
        <stp>BOOK_VAL_PER_SH</stp>
        <stp>FQ4 2007</stp>
        <stp>FQ4 2007</stp>
        <stp>[FA1_ivyerigx.xlsx]Per Share!R26C40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6" s="5"/>
      </tp>
      <tp>
        <v>10.7447</v>
        <stp/>
        <stp>##V3_BDHV12</stp>
        <stp>XOM US Equity</stp>
        <stp>BOOK_VAL_PER_SH</stp>
        <stp>FQ4 2001</stp>
        <stp>FQ4 2001</stp>
        <stp>[FA1_ivyerigx.xlsx]Per Share!R26C16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6" s="5"/>
      </tp>
      <tp>
        <v>13.6899</v>
        <stp/>
        <stp>##V3_BDHV12</stp>
        <stp>XOM US Equity</stp>
        <stp>BOOK_VAL_PER_SH</stp>
        <stp>FQ4 2003</stp>
        <stp>FQ4 2003</stp>
        <stp>[FA1_ivyerigx.xlsx]Per Share!R26C24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6" s="5"/>
      </tp>
      <tp>
        <v>18.129100000000001</v>
        <stp/>
        <stp>##V3_BDHV12</stp>
        <stp>XOM US Equity</stp>
        <stp>BOOK_VAL_PER_SH</stp>
        <stp>FQ4 2005</stp>
        <stp>FQ4 2005</stp>
        <stp>[FA1_ivyerigx.xlsx]Per Share!R26C32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6" s="5"/>
      </tp>
      <tp>
        <v>0</v>
        <stp/>
        <stp>##V3_BDHV12</stp>
        <stp>XOM US Equity</stp>
        <stp>OTHER_ADJUSTMENTS</stp>
        <stp>FQ4 1999</stp>
        <stp>FQ4 1999</stp>
        <stp>[FA1_ivyerigx.xlsx]Income - Adjusted!R26C8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6" s="2"/>
      </tp>
      <tp>
        <v>0</v>
        <stp/>
        <stp>##V3_BDHV12</stp>
        <stp>XOM US Equity</stp>
        <stp>OTHER_ADJUSTMENTS</stp>
        <stp>FQ4 1998</stp>
        <stp>FQ4 1998</stp>
        <stp>[FA1_ivyerigx.xlsx]Income - Adjusted!R26C4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6" s="2"/>
      </tp>
      <tp>
        <v>39.4</v>
        <stp/>
        <stp>##V3_BDHV12</stp>
        <stp>XOM US Equity</stp>
        <stp>PX_LAST</stp>
        <stp>FQ3 2001</stp>
        <stp>FQ3 2001</stp>
        <stp>[FA1_ivyerigx.xlsx]Stock Value!R6C15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" s="6"/>
      </tp>
      <tp>
        <v>67.099999999999994</v>
        <stp/>
        <stp>##V3_BDHV12</stp>
        <stp>XOM US Equity</stp>
        <stp>PX_LAST</stp>
        <stp>FQ3 2006</stp>
        <stp>FQ3 2006</stp>
        <stp>[FA1_ivyerigx.xlsx]Stock Value!R6C35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" s="6"/>
      </tp>
      <tp>
        <v>41.59</v>
        <stp/>
        <stp>##V3_BDHV12</stp>
        <stp>XOM US Equity</stp>
        <stp>PX_LAST</stp>
        <stp>FQ1 2004</stp>
        <stp>FQ1 2004</stp>
        <stp>[FA1_ivyerigx.xlsx]Stock Value!R6C25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" s="6"/>
      </tp>
      <tp>
        <v>0.28999999999999998</v>
        <stp/>
        <stp>##V3_BDHV12</stp>
        <stp>XOM US Equity</stp>
        <stp>EQY_DPS</stp>
        <stp>FQ3 2005</stp>
        <stp>FQ3 2005</stp>
        <stp>[FA1_ivyerigx.xlsx]Income - Adjusted!R53C31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3" s="2"/>
      </tp>
      <tp>
        <v>0.23</v>
        <stp/>
        <stp>##V3_BDHV12</stp>
        <stp>XOM US Equity</stp>
        <stp>EQY_DPS</stp>
        <stp>FQ3 2001</stp>
        <stp>FQ3 2001</stp>
        <stp>[FA1_ivyerigx.xlsx]Income - Adjusted!R53C15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3" s="2"/>
      </tp>
      <tp t="s">
        <v>—</v>
        <stp/>
        <stp>##V3_BDHV12</stp>
        <stp>XOM US Equity</stp>
        <stp>CF_TAX_BENEFIT_FRM_STOCK_OPTIONS</stp>
        <stp>FQ1 2005</stp>
        <stp>FQ1 2005</stp>
        <stp>[FA1_ivyerigx.xlsx]Cash Flow - Standardized!R45C29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5" s="4"/>
      </tp>
      <tp>
        <v>1528</v>
        <stp/>
        <stp>##V3_BDHV12</stp>
        <stp>XOM US Equity</stp>
        <stp>CF_DEPR_AMORT</stp>
        <stp>FQ1 1999</stp>
        <stp>FQ1 1999</stp>
        <stp>[FA1_ivyerigx.xlsx]Cash Flow - Standardized!R8C5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8" s="4"/>
      </tp>
      <tp>
        <v>1319</v>
        <stp/>
        <stp>##V3_BDHV12</stp>
        <stp>XOM US Equity</stp>
        <stp>CF_DEPR_AMORT</stp>
        <stp>FQ3 1999</stp>
        <stp>FQ3 1999</stp>
        <stp>[FA1_ivyerigx.xlsx]Cash Flow - Standardized!R8C7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8" s="4"/>
      </tp>
      <tp t="s">
        <v>—</v>
        <stp/>
        <stp>##V3_BDHV12</stp>
        <stp>XOM US Equity</stp>
        <stp>CF_TAX_BENEFIT_FRM_STOCK_OPTIONS</stp>
        <stp>FQ2 2002</stp>
        <stp>FQ2 2002</stp>
        <stp>[FA1_ivyerigx.xlsx]Cash Flow - Standardized!R45C18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5" s="4"/>
      </tp>
      <tp>
        <v>1347</v>
        <stp/>
        <stp>##V3_BDHV12</stp>
        <stp>XOM US Equity</stp>
        <stp>CF_DEPR_AMORT</stp>
        <stp>FQ2 1999</stp>
        <stp>FQ2 1999</stp>
        <stp>[FA1_ivyerigx.xlsx]Cash Flow - Standardized!R8C6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8" s="4"/>
      </tp>
      <tp>
        <v>4110</v>
        <stp/>
        <stp>##V3_BDHV12</stp>
        <stp>XOM US Equity</stp>
        <stp>CF_DEPR_AMORT</stp>
        <stp>FQ4 1999</stp>
        <stp>FQ4 1999</stp>
        <stp>[FA1_ivyerigx.xlsx]Cash Flow - Standardized!R8C8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8" s="4"/>
      </tp>
      <tp t="s">
        <v>—</v>
        <stp/>
        <stp>##V3_BDHV12</stp>
        <stp>XOM US Equity</stp>
        <stp>CF_TAX_BENEFIT_FRM_STOCK_OPTIONS</stp>
        <stp>FQ2 2001</stp>
        <stp>FQ2 2001</stp>
        <stp>[FA1_ivyerigx.xlsx]Cash Flow - Standardized!R45C14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5" s="4"/>
      </tp>
      <tp>
        <v>-19897</v>
        <stp/>
        <stp>##V3_BDHV12</stp>
        <stp>XOM US Equity</stp>
        <stp>NET_DEBT</stp>
        <stp>FQ4 2006</stp>
        <stp>FQ4 2006</stp>
        <stp>[FA1_ivyerigx.xlsx]Bal Sheet - Standardized!R60C36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60" s="3"/>
      </tp>
      <tp t="s">
        <v>—</v>
        <stp/>
        <stp>##V3_BDHV12</stp>
        <stp>XOM US Equity</stp>
        <stp>CF_TAX_BENEFIT_FRM_STOCK_OPTIONS</stp>
        <stp>FQ2 2000</stp>
        <stp>FQ2 2000</stp>
        <stp>[FA1_ivyerigx.xlsx]Cash Flow - Standardized!R45C10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5" s="4"/>
      </tp>
      <tp>
        <v>-20680</v>
        <stp/>
        <stp>##V3_BDHV12</stp>
        <stp>XOM US Equity</stp>
        <stp>NET_DEBT</stp>
        <stp>FQ4 2005</stp>
        <stp>FQ4 2005</stp>
        <stp>[FA1_ivyerigx.xlsx]Bal Sheet - Standardized!R60C32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60" s="3"/>
      </tp>
      <tp t="s">
        <v>—</v>
        <stp/>
        <stp>##V3_BDHV12</stp>
        <stp>XOM US Equity</stp>
        <stp>CF_TAX_BENEFIT_FRM_STOCK_OPTIONS</stp>
        <stp>FQ1 2003</stp>
        <stp>FQ1 2003</stp>
        <stp>[FA1_ivyerigx.xlsx]Cash Flow - Standardized!R45C21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5" s="4"/>
      </tp>
      <tp t="s">
        <v>—</v>
        <stp/>
        <stp>##V3_BDHV12</stp>
        <stp>XOM US Equity</stp>
        <stp>CF_TAX_BENEFIT_FRM_STOCK_OPTIONS</stp>
        <stp>FQ1 2004</stp>
        <stp>FQ1 2004</stp>
        <stp>[FA1_ivyerigx.xlsx]Cash Flow - Standardized!R45C25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5" s="4"/>
      </tp>
      <tp>
        <v>2.5798999999999999</v>
        <stp/>
        <stp>##V3_BDHV12</stp>
        <stp>XOM US Equity</stp>
        <stp>CASH_FLOW_PER_SH</stp>
        <stp>FQ2 2008</stp>
        <stp>FQ2 2008</stp>
        <stp>[FA1_ivyerigx.xlsx]Per Share!R22C42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2" s="5"/>
      </tp>
      <tp>
        <v>0.60819999999999996</v>
        <stp/>
        <stp>##V3_BDHV12</stp>
        <stp>XOM US Equity</stp>
        <stp>CASH_FLOW_PER_SH</stp>
        <stp>FQ2 2002</stp>
        <stp>FQ2 2002</stp>
        <stp>[FA1_ivyerigx.xlsx]Per Share!R22C18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2" s="5"/>
      </tp>
      <tp>
        <v>6952</v>
        <stp/>
        <stp>##V3_BDHV12</stp>
        <stp>XOM US Equity</stp>
        <stp>BS_SH_OUT</stp>
        <stp>FQ3 2000</stp>
        <stp>FQ3 2000</stp>
        <stp>[FA1_ivyerigx.xlsx]Bal Sheet - Standardized!R53C11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3" s="3"/>
      </tp>
      <tp>
        <v>6967.6819999999998</v>
        <stp/>
        <stp>##V3_BDHV12</stp>
        <stp>XOM US Equity</stp>
        <stp>BS_SH_OUT</stp>
        <stp>FQ2 2000</stp>
        <stp>FQ2 2000</stp>
        <stp>[FA1_ivyerigx.xlsx]Bal Sheet - Standardized!R53C10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3" s="3"/>
      </tp>
      <tp>
        <v>0</v>
        <stp/>
        <stp>##V3_BDHV12</stp>
        <stp>XOM US Equity</stp>
        <stp>NET_CHG_IN_LT_INVEST_DETAILED</stp>
        <stp>FQ4 2005</stp>
        <stp>FQ4 2005</stp>
        <stp>[FA1_ivyerigx.xlsx]Cash Flow - Standardized!R21C32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1" s="4"/>
      </tp>
      <tp>
        <v>1855.35</v>
        <stp/>
        <stp>##V3_BDHV12</stp>
        <stp>XOM US Equity</stp>
        <stp>IS_TOT_CASH_COM_DVD</stp>
        <stp>FQ1 2008</stp>
        <stp>FQ1 2008</stp>
        <stp>[FA1_ivyerigx.xlsx]Income - Adjusted!R54C41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4" s="2"/>
      </tp>
      <tp>
        <v>0</v>
        <stp/>
        <stp>##V3_BDHV12</stp>
        <stp>XOM US Equity</stp>
        <stp>NET_CHG_IN_LT_INVEST_DETAILED</stp>
        <stp>FQ4 2006</stp>
        <stp>FQ4 2006</stp>
        <stp>[FA1_ivyerigx.xlsx]Cash Flow - Standardized!R21C36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1" s="4"/>
      </tp>
      <tp>
        <v>16403</v>
        <stp/>
        <stp>##V3_BDHV12</stp>
        <stp>XOM US Equity</stp>
        <stp>GROSS_PROFIT</stp>
        <stp>FQ1 2000</stp>
        <stp>FQ1 2000</stp>
        <stp>[FA1_ivyerigx.xlsx]Income - Adjusted!R8C9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2"/>
      </tp>
      <tp>
        <v>0</v>
        <stp/>
        <stp>##V3_BDHV12</stp>
        <stp>XOM US Equity</stp>
        <stp>IS_TOT_CASH_PFD_DVD</stp>
        <stp>FQ1 2008</stp>
        <stp>FQ1 2008</stp>
        <stp>[FA1_ivyerigx.xlsx]Income - Adjusted!R25C41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2"/>
      </tp>
      <tp>
        <v>109</v>
        <stp/>
        <stp>##V3_BDHV12</stp>
        <stp>XOM US Equity</stp>
        <stp>CF_ACT_CASH_PAID_FOR_INT_DEBT</stp>
        <stp>FQ2 2007</stp>
        <stp>FQ2 2007</stp>
        <stp>[FA1_ivyerigx.xlsx]Cash Flow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4"/>
      </tp>
      <tp>
        <v>72</v>
        <stp/>
        <stp>##V3_BDHV12</stp>
        <stp>XOM US Equity</stp>
        <stp>CF_ACT_CASH_PAID_FOR_INT_DEBT</stp>
        <stp>FQ2 2005</stp>
        <stp>FQ2 2005</stp>
        <stp>[FA1_ivyerigx.xlsx]Cash Flow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4"/>
      </tp>
      <tp>
        <v>880</v>
        <stp/>
        <stp>##V3_BDHV12</stp>
        <stp>XOM US Equity</stp>
        <stp>CF_ACT_CASH_PAID_FOR_INT_DEBT</stp>
        <stp>FQ2 2006</stp>
        <stp>FQ2 2006</stp>
        <stp>[FA1_ivyerigx.xlsx]Cash Flow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4"/>
      </tp>
      <tp>
        <v>88</v>
        <stp/>
        <stp>##V3_BDHV12</stp>
        <stp>XOM US Equity</stp>
        <stp>CF_ACT_CASH_PAID_FOR_INT_DEBT</stp>
        <stp>FQ3 2004</stp>
        <stp>FQ3 2004</stp>
        <stp>[FA1_ivyerigx.xlsx]Cash Flow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4"/>
      </tp>
      <tp>
        <v>5.1044999999999998</v>
        <stp/>
        <stp>##V3_BDHV12</stp>
        <stp>XOM US Equity</stp>
        <stp>REVENUE_PER_SH</stp>
        <stp>FQ3 1998</stp>
        <stp>FQ3 1998</stp>
        <stp>[FA1_ivyerigx.xlsx]Per Share!R11C3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1" s="5"/>
      </tp>
      <tp>
        <v>6.3681000000000001</v>
        <stp/>
        <stp>##V3_BDHV12</stp>
        <stp>XOM US Equity</stp>
        <stp>REVENUE_PER_SH</stp>
        <stp>FQ4 1998</stp>
        <stp>FQ4 1998</stp>
        <stp>[FA1_ivyerigx.xlsx]Per Share!R11C4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1" s="5"/>
      </tp>
      <tp>
        <v>161</v>
        <stp/>
        <stp>##V3_BDHV12</stp>
        <stp>XOM US Equity</stp>
        <stp>CF_ACT_CASH_PAID_FOR_INT_DEBT</stp>
        <stp>FQ3 2003</stp>
        <stp>FQ3 2003</stp>
        <stp>[FA1_ivyerigx.xlsx]Cash Flow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4"/>
      </tp>
      <tp>
        <v>85900</v>
        <stp/>
        <stp>##V3_BDHV12</stp>
        <stp>XOM US Equity</stp>
        <stp>NUM_OF_EMPLOYEES</stp>
        <stp>FQ4 2004</stp>
        <stp>FQ4 2004</stp>
        <stp>[FA1_ivyerigx.xlsx]Bal Sheet - Standardized!R65C28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5" s="3"/>
      </tp>
      <tp t="s">
        <v>—</v>
        <stp/>
        <stp>##V3_BDHV12</stp>
        <stp>XOM US Equity</stp>
        <stp>NUM_OF_EMPLOYEES</stp>
        <stp>FQ2 2002</stp>
        <stp>FQ2 2002</stp>
        <stp>[FA1_ivyerigx.xlsx]Bal Sheet - Standardized!R65C18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5" s="3"/>
      </tp>
      <tp t="s">
        <v>—</v>
        <stp/>
        <stp>##V3_BDHV12</stp>
        <stp>XOM US Equity</stp>
        <stp>NUM_OF_EMPLOYEES</stp>
        <stp>FQ3 2002</stp>
        <stp>FQ3 2002</stp>
        <stp>[FA1_ivyerigx.xlsx]Bal Sheet - Standardized!R65C19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5" s="3"/>
      </tp>
      <tp t="s">
        <v>—</v>
        <stp/>
        <stp>##V3_BDHV12</stp>
        <stp>XOM US Equity</stp>
        <stp>NUM_OF_EMPLOYEES</stp>
        <stp>FQ2 2008</stp>
        <stp>FQ2 2008</stp>
        <stp>[FA1_ivyerigx.xlsx]Bal Sheet - Standardized!R65C42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5" s="3"/>
      </tp>
      <tp t="s">
        <v>—</v>
        <stp/>
        <stp>##V3_BDHV12</stp>
        <stp>XOM US Equity</stp>
        <stp>NUM_OF_EMPLOYEES</stp>
        <stp>FQ1 2008</stp>
        <stp>FQ1 2008</stp>
        <stp>[FA1_ivyerigx.xlsx]Bal Sheet - Standardized!R65C41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5" s="3"/>
      </tp>
      <tp>
        <v>2.31</v>
        <stp/>
        <stp>##V3_BDHV12</stp>
        <stp>XOM US Equity</stp>
        <stp>IS_BASIC_EPS_CONT_OPS</stp>
        <stp>FQ2 2008</stp>
        <stp>FQ2 2008</stp>
        <stp>[FA1_ivyerigx.xlsx]Income - Adjusted!R36C42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6" s="2"/>
      </tp>
      <tp>
        <v>0.4</v>
        <stp/>
        <stp>##V3_BDHV12</stp>
        <stp>XOM US Equity</stp>
        <stp>IS_BASIC_EPS_CONT_OPS</stp>
        <stp>FQ2 2002</stp>
        <stp>FQ2 2002</stp>
        <stp>[FA1_ivyerigx.xlsx]Income - Adjusted!R36C18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6" s="2"/>
      </tp>
      <tp>
        <v>5823.86</v>
        <stp/>
        <stp>##V3_BDHV12</stp>
        <stp>XOM US Equity</stp>
        <stp>IS_SH_FOR_DILUTED_EPS</stp>
        <stp>FQ4 2006</stp>
        <stp>FQ4 2006</stp>
        <stp>[FA1_ivyerigx.xlsx]Income - Adjusted!R38C36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8" s="2"/>
      </tp>
      <tp>
        <v>5714</v>
        <stp/>
        <stp>##V3_BDHV12</stp>
        <stp>XOM US Equity</stp>
        <stp>IS_SH_FOR_DILUTED_EPS</stp>
        <stp>FQ1 2007</stp>
        <stp>FQ1 2007</stp>
        <stp>[FA1_ivyerigx.xlsx]Income - Adjusted!R38C37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8" s="2"/>
      </tp>
      <tp>
        <v>6652</v>
        <stp/>
        <stp>##V3_BDHV12</stp>
        <stp>XOM US Equity</stp>
        <stp>IS_SH_FOR_DILUTED_EPS</stp>
        <stp>FQ3 2003</stp>
        <stp>FQ3 2003</stp>
        <stp>[FA1_ivyerigx.xlsx]Income - Adjusted!R38C23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8" s="2"/>
      </tp>
      <tp>
        <v>7049</v>
        <stp/>
        <stp>##V3_BDHV12</stp>
        <stp>XOM US Equity</stp>
        <stp>IS_SH_FOR_DILUTED_EPS</stp>
        <stp>FQ2 2000</stp>
        <stp>FQ2 2000</stp>
        <stp>[FA1_ivyerigx.xlsx]Income - Adjusted!R38C10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8" s="2"/>
      </tp>
      <tp>
        <v>19.871500000000001</v>
        <stp/>
        <stp>##V3_BDHV12</stp>
        <stp>XOM US Equity</stp>
        <stp>BOOK_VAL_PER_SH</stp>
        <stp>FQ4 2006</stp>
        <stp>FQ4 2006</stp>
        <stp>[FA1_ivyerigx.xlsx]Per Share!R26C36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6" s="5"/>
      </tp>
      <tp>
        <v>20.257400000000001</v>
        <stp/>
        <stp>##V3_BDHV12</stp>
        <stp>XOM US Equity</stp>
        <stp>BOOK_VAL_PER_SH</stp>
        <stp>FQ1 2007</stp>
        <stp>FQ1 2007</stp>
        <stp>[FA1_ivyerigx.xlsx]Per Share!R26C37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6" s="5"/>
      </tp>
      <tp>
        <v>12.674200000000001</v>
        <stp/>
        <stp>##V3_BDHV12</stp>
        <stp>XOM US Equity</stp>
        <stp>BOOK_VAL_PER_SH</stp>
        <stp>FQ3 2003</stp>
        <stp>FQ3 2003</stp>
        <stp>[FA1_ivyerigx.xlsx]Per Share!R26C23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6" s="5"/>
      </tp>
      <tp>
        <v>9.6066000000000003</v>
        <stp/>
        <stp>##V3_BDHV12</stp>
        <stp>XOM US Equity</stp>
        <stp>BOOK_VAL_PER_SH</stp>
        <stp>FQ2 2000</stp>
        <stp>FQ2 2000</stp>
        <stp>[FA1_ivyerigx.xlsx]Per Share!R26C10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6" s="5"/>
      </tp>
      <tp>
        <v>53267</v>
        <stp/>
        <stp>##V3_BDHV12</stp>
        <stp>XOM US Equity</stp>
        <stp>OTHER_INS_RES_TO_SHRHLDR_EQY</stp>
        <stp>FQ3 1998</stp>
        <stp>FQ3 1998</stp>
        <stp>[FA1_ivyerigx.xlsx]Bal Sheet - Standardized!R45C3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5" s="3"/>
      </tp>
      <tp t="s">
        <v>—</v>
        <stp/>
        <stp>##V3_BDHV12</stp>
        <stp>XOM US Equity</stp>
        <stp>OTHER_ADJUSTMENTS</stp>
        <stp>FQ3 1998</stp>
        <stp>FQ3 1998</stp>
        <stp>[FA1_ivyerigx.xlsx]Income - Adjusted!R26C3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6" s="2"/>
      </tp>
      <tp t="s">
        <v>—</v>
        <stp/>
        <stp>##V3_BDHV12</stp>
        <stp>XOM US Equity</stp>
        <stp>OTHER_ADJUSTMENTS</stp>
        <stp>FQ3 1999</stp>
        <stp>FQ3 1999</stp>
        <stp>[FA1_ivyerigx.xlsx]Income - Adjusted!R26C7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6" s="2"/>
      </tp>
      <tp>
        <v>-1048</v>
        <stp/>
        <stp>##V3_BDHV12</stp>
        <stp>XOM US Equity</stp>
        <stp>OTHER_INS_RES_TO_SHRHLDR_EQY</stp>
        <stp>FQ4 1998</stp>
        <stp>FQ4 1998</stp>
        <stp>[FA1_ivyerigx.xlsx]Bal Sheet - Standardized!R45C4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5" s="3"/>
      </tp>
      <tp>
        <v>174</v>
        <stp/>
        <stp>##V3_BDHV12</stp>
        <stp>XOM US Equity</stp>
        <stp>IS_NET_INTEREST_EXPENSE</stp>
        <stp>FQ1 2000</stp>
        <stp>FQ1 2000</stp>
        <stp>[FA1_ivyerigx.xlsx]Income - Adjusted!R13C9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3" s="2"/>
      </tp>
      <tp>
        <v>43.674999999999997</v>
        <stp/>
        <stp>##V3_BDHV12</stp>
        <stp>XOM US Equity</stp>
        <stp>PX_LAST</stp>
        <stp>FQ2 2001</stp>
        <stp>FQ2 2001</stp>
        <stp>[FA1_ivyerigx.xlsx]Stock Value!R6C14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" s="6"/>
      </tp>
      <tp>
        <v>61.35</v>
        <stp/>
        <stp>##V3_BDHV12</stp>
        <stp>XOM US Equity</stp>
        <stp>PX_LAST</stp>
        <stp>FQ2 2006</stp>
        <stp>FQ2 2006</stp>
        <stp>[FA1_ivyerigx.xlsx]Stock Value!R6C34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" s="6"/>
      </tp>
      <tp>
        <v>41</v>
        <stp/>
        <stp>##V3_BDHV12</stp>
        <stp>XOM US Equity</stp>
        <stp>PX_LAST</stp>
        <stp>FQ4 2003</stp>
        <stp>FQ4 2003</stp>
        <stp>[FA1_ivyerigx.xlsx]Stock Value!R6C24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" s="6"/>
      </tp>
      <tp>
        <v>0.32</v>
        <stp/>
        <stp>##V3_BDHV12</stp>
        <stp>XOM US Equity</stp>
        <stp>EQY_DPS</stp>
        <stp>FQ1 2006</stp>
        <stp>FQ1 2006</stp>
        <stp>[FA1_ivyerigx.xlsx]Income - Adjusted!R53C33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3" s="2"/>
      </tp>
      <tp>
        <v>0.23</v>
        <stp/>
        <stp>##V3_BDHV12</stp>
        <stp>XOM US Equity</stp>
        <stp>EQY_DPS</stp>
        <stp>FQ1 2002</stp>
        <stp>FQ1 2002</stp>
        <stp>[FA1_ivyerigx.xlsx]Income - Adjusted!R53C17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3" s="2"/>
      </tp>
      <tp>
        <v>0.28999999999999998</v>
        <stp/>
        <stp>##V3_BDHV12</stp>
        <stp>XOM US Equity</stp>
        <stp>EQY_DPS</stp>
        <stp>FQ2 2005</stp>
        <stp>FQ2 2005</stp>
        <stp>[FA1_ivyerigx.xlsx]Income - Adjusted!R53C30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3" s="2"/>
      </tp>
      <tp>
        <v>0.23</v>
        <stp/>
        <stp>##V3_BDHV12</stp>
        <stp>XOM US Equity</stp>
        <stp>EQY_DPS</stp>
        <stp>FQ2 2001</stp>
        <stp>FQ2 2001</stp>
        <stp>[FA1_ivyerigx.xlsx]Income - Adjusted!R53C14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3" s="2"/>
      </tp>
      <tp t="s">
        <v>—</v>
        <stp/>
        <stp>##V3_BDHV12</stp>
        <stp>XOM US Equity</stp>
        <stp>CF_NET_CASH_PAID_FOR_AQUIS</stp>
        <stp>FQ1 1999</stp>
        <stp>FQ1 1999</stp>
        <stp>[FA1_ivyerigx.xlsx]Cash Flow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4"/>
      </tp>
      <tp t="s">
        <v>—</v>
        <stp/>
        <stp>##V3_BDHV12</stp>
        <stp>XOM US Equity</stp>
        <stp>CF_NET_CASH_PAID_FOR_AQUIS</stp>
        <stp>FQ3 1999</stp>
        <stp>FQ3 1999</stp>
        <stp>[FA1_ivyerigx.xlsx]Cash Flow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4"/>
      </tp>
      <tp t="s">
        <v>—</v>
        <stp/>
        <stp>##V3_BDHV12</stp>
        <stp>XOM US Equity</stp>
        <stp>CF_NET_CASH_PAID_FOR_AQUIS</stp>
        <stp>FQ2 1999</stp>
        <stp>FQ2 1999</stp>
        <stp>[FA1_ivyerigx.xlsx]Cash Flow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4"/>
      </tp>
      <tp>
        <v>1337</v>
        <stp/>
        <stp>##V3_BDHV12</stp>
        <stp>XOM US Equity</stp>
        <stp>CF_DEPR_AMORT</stp>
        <stp>FQ3 1998</stp>
        <stp>FQ3 1998</stp>
        <stp>[FA1_ivyerigx.xlsx]Cash Flow - Standardized!R8C3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8" s="4"/>
      </tp>
      <tp>
        <v>1225</v>
        <stp/>
        <stp>##V3_BDHV12</stp>
        <stp>XOM US Equity</stp>
        <stp>CF_DEPR_AMORT</stp>
        <stp>FQ4 1998</stp>
        <stp>FQ4 1998</stp>
        <stp>[FA1_ivyerigx.xlsx]Cash Flow - Standardized!R8C4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8" s="4"/>
      </tp>
      <tp t="s">
        <v>—</v>
        <stp/>
        <stp>##V3_BDHV12</stp>
        <stp>XOM US Equity</stp>
        <stp>CF_NET_CASH_PAID_FOR_AQUIS</stp>
        <stp>FQ3 1998</stp>
        <stp>FQ3 1998</stp>
        <stp>[FA1_ivyerigx.xlsx]Cash Flow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4"/>
      </tp>
      <tp t="s">
        <v>—</v>
        <stp/>
        <stp>##V3_BDHV12</stp>
        <stp>XOM US Equity</stp>
        <stp>CF_NET_CASH_PAID_FOR_AQUIS</stp>
        <stp>FQ4 1998</stp>
        <stp>FQ4 1998</stp>
        <stp>[FA1_ivyerigx.xlsx]Cash Flow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4"/>
      </tp>
      <tp>
        <v>-30063</v>
        <stp/>
        <stp>##V3_BDHV12</stp>
        <stp>XOM US Equity</stp>
        <stp>NET_DEBT</stp>
        <stp>FQ2 2008</stp>
        <stp>FQ2 2008</stp>
        <stp>[FA1_ivyerigx.xlsx]Bal Sheet - Standardized!R60C42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60" s="3"/>
      </tp>
      <tp>
        <v>-10238</v>
        <stp/>
        <stp>##V3_BDHV12</stp>
        <stp>XOM US Equity</stp>
        <stp>NET_DEBT</stp>
        <stp>FQ4 2004</stp>
        <stp>FQ4 2004</stp>
        <stp>[FA1_ivyerigx.xlsx]Bal Sheet - Standardized!R60C28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60" s="3"/>
      </tp>
      <tp t="s">
        <v>—</v>
        <stp/>
        <stp>##V3_BDHV12</stp>
        <stp>XOM US Equity</stp>
        <stp>CF_TAX_BENEFIT_FRM_STOCK_OPTIONS</stp>
        <stp>FQ3 2002</stp>
        <stp>FQ3 2002</stp>
        <stp>[FA1_ivyerigx.xlsx]Cash Flow - Standardized!R45C19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5" s="4"/>
      </tp>
      <tp>
        <v>3519</v>
        <stp/>
        <stp>##V3_BDHV12</stp>
        <stp>XOM US Equity</stp>
        <stp>NET_DEBT</stp>
        <stp>FQ4 2002</stp>
        <stp>FQ4 2002</stp>
        <stp>[FA1_ivyerigx.xlsx]Bal Sheet - Standardized!R60C20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60" s="3"/>
      </tp>
      <tp t="s">
        <v>—</v>
        <stp/>
        <stp>##V3_BDHV12</stp>
        <stp>XOM US Equity</stp>
        <stp>CF_TAX_BENEFIT_FRM_STOCK_OPTIONS</stp>
        <stp>FQ3 2001</stp>
        <stp>FQ3 2001</stp>
        <stp>[FA1_ivyerigx.xlsx]Cash Flow - Standardized!R45C15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5" s="4"/>
      </tp>
      <tp t="s">
        <v>—</v>
        <stp/>
        <stp>##V3_BDHV12</stp>
        <stp>XOM US Equity</stp>
        <stp>CF_NET_CASH_PAID_FOR_AQUIS</stp>
        <stp>FQ4 1999</stp>
        <stp>FQ4 1999</stp>
        <stp>[FA1_ivyerigx.xlsx]Cash Flow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4"/>
      </tp>
      <tp t="s">
        <v>—</v>
        <stp/>
        <stp>##V3_BDHV12</stp>
        <stp>XOM US Equity</stp>
        <stp>CF_TAX_BENEFIT_FRM_STOCK_OPTIONS</stp>
        <stp>FQ1 2006</stp>
        <stp>FQ1 2006</stp>
        <stp>[FA1_ivyerigx.xlsx]Cash Flow - Standardized!R45C33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5" s="4"/>
      </tp>
      <tp t="s">
        <v>—</v>
        <stp/>
        <stp>##V3_BDHV12</stp>
        <stp>XOM US Equity</stp>
        <stp>CF_TAX_BENEFIT_FRM_STOCK_OPTIONS</stp>
        <stp>FQ3 2000</stp>
        <stp>FQ3 2000</stp>
        <stp>[FA1_ivyerigx.xlsx]Cash Flow - Standardized!R45C11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5" s="4"/>
      </tp>
      <tp>
        <v>-1081</v>
        <stp/>
        <stp>##V3_BDHV12</stp>
        <stp>XOM US Equity</stp>
        <stp>NET_DEBT</stp>
        <stp>FQ4 2003</stp>
        <stp>FQ4 2003</stp>
        <stp>[FA1_ivyerigx.xlsx]Bal Sheet - Standardized!R60C24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60" s="3"/>
      </tp>
      <tp t="s">
        <v>—</v>
        <stp/>
        <stp>##V3_BDHV12</stp>
        <stp>XOM US Equity</stp>
        <stp>CF_TAX_BENEFIT_FRM_STOCK_OPTIONS</stp>
        <stp>FQ1 2007</stp>
        <stp>FQ1 2007</stp>
        <stp>[FA1_ivyerigx.xlsx]Cash Flow - Standardized!R45C37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5" s="4"/>
      </tp>
      <tp>
        <v>6568</v>
        <stp/>
        <stp>##V3_BDHV12</stp>
        <stp>XOM US Equity</stp>
        <stp>BS_SH_OUT</stp>
        <stp>FQ4 2003</stp>
        <stp>FQ4 2003</stp>
        <stp>[FA1_ivyerigx.xlsx]Bal Sheet - Standardized!R53C24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3" s="3"/>
      </tp>
      <tp>
        <v>6679.3909999999996</v>
        <stp/>
        <stp>##V3_BDHV12</stp>
        <stp>XOM US Equity</stp>
        <stp>BS_SH_OUT</stp>
        <stp>FQ1 2003</stp>
        <stp>FQ1 2003</stp>
        <stp>[FA1_ivyerigx.xlsx]Bal Sheet - Standardized!R53C21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3" s="3"/>
      </tp>
      <tp>
        <v>6652</v>
        <stp/>
        <stp>##V3_BDHV12</stp>
        <stp>XOM US Equity</stp>
        <stp>BS_SH_OUT</stp>
        <stp>FQ2 2003</stp>
        <stp>FQ2 2003</stp>
        <stp>[FA1_ivyerigx.xlsx]Bal Sheet - Standardized!R53C22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3" s="3"/>
      </tp>
      <tp>
        <v>6609</v>
        <stp/>
        <stp>##V3_BDHV12</stp>
        <stp>XOM US Equity</stp>
        <stp>BS_SH_OUT</stp>
        <stp>FQ3 2003</stp>
        <stp>FQ3 2003</stp>
        <stp>[FA1_ivyerigx.xlsx]Bal Sheet - Standardized!R53C23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3" s="3"/>
      </tp>
      <tp>
        <v>1.1052</v>
        <stp/>
        <stp>##V3_BDHV12</stp>
        <stp>XOM US Equity</stp>
        <stp>CASH_FLOW_PER_SH</stp>
        <stp>FQ3 2002</stp>
        <stp>FQ3 2002</stp>
        <stp>[FA1_ivyerigx.xlsx]Per Share!R22C19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2" s="5"/>
      </tp>
      <tp>
        <v>6809</v>
        <stp/>
        <stp>##V3_BDHV12</stp>
        <stp>XOM US Equity</stp>
        <stp>BS_SH_OUT</stp>
        <stp>FQ4 2001</stp>
        <stp>FQ4 2001</stp>
        <stp>[FA1_ivyerigx.xlsx]Bal Sheet - Standardized!R53C16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3" s="3"/>
      </tp>
      <tp>
        <v>6900</v>
        <stp/>
        <stp>##V3_BDHV12</stp>
        <stp>XOM US Equity</stp>
        <stp>BS_SH_OUT</stp>
        <stp>FQ1 2001</stp>
        <stp>FQ1 2001</stp>
        <stp>[FA1_ivyerigx.xlsx]Bal Sheet - Standardized!R53C13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3" s="3"/>
      </tp>
      <tp>
        <v>5382</v>
        <stp/>
        <stp>##V3_BDHV12</stp>
        <stp>XOM US Equity</stp>
        <stp>BS_SH_OUT</stp>
        <stp>FQ4 2007</stp>
        <stp>FQ4 2007</stp>
        <stp>[FA1_ivyerigx.xlsx]Bal Sheet - Standardized!R53C40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3" s="3"/>
      </tp>
      <tp>
        <v>6133</v>
        <stp/>
        <stp>##V3_BDHV12</stp>
        <stp>XOM US Equity</stp>
        <stp>BS_SH_OUT</stp>
        <stp>FQ4 2005</stp>
        <stp>FQ4 2005</stp>
        <stp>[FA1_ivyerigx.xlsx]Bal Sheet - Standardized!R53C32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3" s="3"/>
      </tp>
      <tp>
        <v>0</v>
        <stp/>
        <stp>##V3_BDHV12</stp>
        <stp>XOM US Equity</stp>
        <stp>NET_CHG_IN_LT_INVEST_DETAILED</stp>
        <stp>FQ4 2003</stp>
        <stp>FQ4 2003</stp>
        <stp>[FA1_ivyerigx.xlsx]Cash Flow - Standardized!R21C24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1" s="4"/>
      </tp>
      <tp>
        <v>0</v>
        <stp/>
        <stp>##V3_BDHV12</stp>
        <stp>XOM US Equity</stp>
        <stp>NET_CHG_IN_LT_INVEST_DETAILED</stp>
        <stp>FQ4 2002</stp>
        <stp>FQ4 2002</stp>
        <stp>[FA1_ivyerigx.xlsx]Cash Flow - Standardized!R21C20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1" s="4"/>
      </tp>
      <tp>
        <v>0</v>
        <stp/>
        <stp>##V3_BDHV12</stp>
        <stp>XOM US Equity</stp>
        <stp>NET_CHG_IN_LT_INVEST_DETAILED</stp>
        <stp>FQ2 2008</stp>
        <stp>FQ2 2008</stp>
        <stp>[FA1_ivyerigx.xlsx]Cash Flow - Standardized!R21C42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1" s="4"/>
      </tp>
      <tp>
        <v>0</v>
        <stp/>
        <stp>##V3_BDHV12</stp>
        <stp>XOM US Equity</stp>
        <stp>NET_CHG_IN_LT_INVEST_DETAILED</stp>
        <stp>FQ4 2004</stp>
        <stp>FQ4 2004</stp>
        <stp>[FA1_ivyerigx.xlsx]Cash Flow - Standardized!R21C28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1" s="4"/>
      </tp>
      <tp>
        <v>130</v>
        <stp/>
        <stp>##V3_BDHV12</stp>
        <stp>XOM US Equity</stp>
        <stp>CF_ACT_CASH_PAID_FOR_INT_DEBT</stp>
        <stp>FQ3 2007</stp>
        <stp>FQ3 2007</stp>
        <stp>[FA1_ivyerigx.xlsx]Cash Flow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4"/>
      </tp>
      <tp>
        <v>153</v>
        <stp/>
        <stp>##V3_BDHV12</stp>
        <stp>XOM US Equity</stp>
        <stp>CF_ACT_CASH_PAID_FOR_INT_DEBT</stp>
        <stp>FQ1 2002</stp>
        <stp>FQ1 2002</stp>
        <stp>[FA1_ivyerigx.xlsx]Cash Flow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4"/>
      </tp>
      <tp>
        <v>223</v>
        <stp/>
        <stp>##V3_BDHV12</stp>
        <stp>XOM US Equity</stp>
        <stp>CF_ACT_CASH_PAID_FOR_INT_DEBT</stp>
        <stp>FQ3 2005</stp>
        <stp>FQ3 2005</stp>
        <stp>[FA1_ivyerigx.xlsx]Cash Flow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4"/>
      </tp>
      <tp>
        <v>111</v>
        <stp/>
        <stp>##V3_BDHV12</stp>
        <stp>XOM US Equity</stp>
        <stp>CF_ACT_CASH_PAID_FOR_INT_DEBT</stp>
        <stp>FQ3 2006</stp>
        <stp>FQ3 2006</stp>
        <stp>[FA1_ivyerigx.xlsx]Cash Flow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4"/>
      </tp>
      <tp>
        <v>58</v>
        <stp/>
        <stp>##V3_BDHV12</stp>
        <stp>XOM US Equity</stp>
        <stp>CF_ACT_CASH_PAID_FOR_INT_DEBT</stp>
        <stp>FQ2 2004</stp>
        <stp>FQ2 2004</stp>
        <stp>[FA1_ivyerigx.xlsx]Cash Flow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4"/>
      </tp>
      <tp>
        <v>5.2089999999999996</v>
        <stp/>
        <stp>##V3_BDHV12</stp>
        <stp>XOM US Equity</stp>
        <stp>REVENUE_PER_SH</stp>
        <stp>FQ2 1999</stp>
        <stp>FQ2 1999</stp>
        <stp>[FA1_ivyerigx.xlsx]Per Share!R11C6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1" s="5"/>
      </tp>
      <tp>
        <v>5.9751000000000003</v>
        <stp/>
        <stp>##V3_BDHV12</stp>
        <stp>XOM US Equity</stp>
        <stp>REVENUE_PER_SH</stp>
        <stp>FQ3 1999</stp>
        <stp>FQ3 1999</stp>
        <stp>[FA1_ivyerigx.xlsx]Per Share!R11C7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1" s="5"/>
      </tp>
      <tp>
        <v>4.7327000000000004</v>
        <stp/>
        <stp>##V3_BDHV12</stp>
        <stp>XOM US Equity</stp>
        <stp>REVENUE_PER_SH</stp>
        <stp>FQ1 1999</stp>
        <stp>FQ1 1999</stp>
        <stp>[FA1_ivyerigx.xlsx]Per Share!R11C5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1" s="5"/>
      </tp>
      <tp>
        <v>12.104100000000001</v>
        <stp/>
        <stp>##V3_BDHV12</stp>
        <stp>XOM US Equity</stp>
        <stp>REVENUE_PER_SH</stp>
        <stp>FQ4 1999</stp>
        <stp>FQ4 1999</stp>
        <stp>[FA1_ivyerigx.xlsx]Per Share!R11C8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1" s="5"/>
      </tp>
      <tp>
        <v>179</v>
        <stp/>
        <stp>##V3_BDHV12</stp>
        <stp>XOM US Equity</stp>
        <stp>CF_ACT_CASH_PAID_FOR_INT_DEBT</stp>
        <stp>FQ4 2007</stp>
        <stp>FQ4 2007</stp>
        <stp>[FA1_ivyerigx.xlsx]Cash Flow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4"/>
      </tp>
      <tp>
        <v>67</v>
        <stp/>
        <stp>##V3_BDHV12</stp>
        <stp>XOM US Equity</stp>
        <stp>CF_ACT_CASH_PAID_FOR_INT_DEBT</stp>
        <stp>FQ2 2003</stp>
        <stp>FQ2 2003</stp>
        <stp>[FA1_ivyerigx.xlsx]Cash Flow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4"/>
      </tp>
      <tp>
        <v>166</v>
        <stp/>
        <stp>##V3_BDHV12</stp>
        <stp>XOM US Equity</stp>
        <stp>CF_ACT_CASH_PAID_FOR_INT_DEBT</stp>
        <stp>FQ1 2001</stp>
        <stp>FQ1 2001</stp>
        <stp>[FA1_ivyerigx.xlsx]Cash Flow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4"/>
      </tp>
      <tp>
        <v>0.44</v>
        <stp/>
        <stp>##V3_BDHV12</stp>
        <stp>XOM US Equity</stp>
        <stp>IS_BASIC_EPS_CONT_OPS</stp>
        <stp>FQ3 2002</stp>
        <stp>FQ3 2002</stp>
        <stp>[FA1_ivyerigx.xlsx]Income - Adjusted!R36C19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6" s="2"/>
      </tp>
      <tp>
        <v>6582</v>
        <stp/>
        <stp>##V3_BDHV12</stp>
        <stp>XOM US Equity</stp>
        <stp>IS_SH_FOR_DILUTED_EPS</stp>
        <stp>FQ1 2004</stp>
        <stp>FQ1 2004</stp>
        <stp>[FA1_ivyerigx.xlsx]Income - Adjusted!R38C25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8" s="2"/>
      </tp>
      <tp>
        <v>7043</v>
        <stp/>
        <stp>##V3_BDHV12</stp>
        <stp>XOM US Equity</stp>
        <stp>IS_SH_FOR_DILUTED_EPS</stp>
        <stp>FQ3 2000</stp>
        <stp>FQ3 2000</stp>
        <stp>[FA1_ivyerigx.xlsx]Income - Adjusted!R38C11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8" s="2"/>
      </tp>
      <tp>
        <v>6687</v>
        <stp/>
        <stp>##V3_BDHV12</stp>
        <stp>XOM US Equity</stp>
        <stp>IS_SH_FOR_DILUTED_EPS</stp>
        <stp>FQ2 2003</stp>
        <stp>FQ2 2003</stp>
        <stp>[FA1_ivyerigx.xlsx]Income - Adjusted!R38C22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8" s="2"/>
      </tp>
      <tp>
        <v>14.0184</v>
        <stp/>
        <stp>##V3_BDHV12</stp>
        <stp>XOM US Equity</stp>
        <stp>BOOK_VAL_PER_SH</stp>
        <stp>FQ1 2004</stp>
        <stp>FQ1 2004</stp>
        <stp>[FA1_ivyerigx.xlsx]Per Share!R26C25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6" s="5"/>
      </tp>
      <tp>
        <v>9.7972999999999999</v>
        <stp/>
        <stp>##V3_BDHV12</stp>
        <stp>XOM US Equity</stp>
        <stp>BOOK_VAL_PER_SH</stp>
        <stp>FQ3 2000</stp>
        <stp>FQ3 2000</stp>
        <stp>[FA1_ivyerigx.xlsx]Per Share!R26C11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6" s="5"/>
      </tp>
      <tp>
        <v>12.4145</v>
        <stp/>
        <stp>##V3_BDHV12</stp>
        <stp>XOM US Equity</stp>
        <stp>BOOK_VAL_PER_SH</stp>
        <stp>FQ2 2003</stp>
        <stp>FQ2 2003</stp>
        <stp>[FA1_ivyerigx.xlsx]Per Share!R26C22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6" s="5"/>
      </tp>
      <tp t="s">
        <v>—</v>
        <stp/>
        <stp>##V3_BDHV12</stp>
        <stp>XOM US Equity</stp>
        <stp>OTHER_ADJUSTMENTS</stp>
        <stp>FQ2 1999</stp>
        <stp>FQ2 1999</stp>
        <stp>[FA1_ivyerigx.xlsx]Income - Adjusted!R26C6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6" s="2"/>
      </tp>
      <tp>
        <v>48.33</v>
        <stp/>
        <stp>##V3_BDHV12</stp>
        <stp>XOM US Equity</stp>
        <stp>PX_LAST</stp>
        <stp>FQ3 2004</stp>
        <stp>FQ3 2004</stp>
        <stp>[FA1_ivyerigx.xlsx]Stock Value!R6C27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" s="6"/>
      </tp>
      <tp>
        <v>43.83</v>
        <stp/>
        <stp>##V3_BDHV12</stp>
        <stp>XOM US Equity</stp>
        <stp>PX_LAST</stp>
        <stp>FQ1 2002</stp>
        <stp>FQ1 2002</stp>
        <stp>[FA1_ivyerigx.xlsx]Stock Value!R6C17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" s="6"/>
      </tp>
      <tp>
        <v>75.45</v>
        <stp/>
        <stp>##V3_BDHV12</stp>
        <stp>XOM US Equity</stp>
        <stp>PX_LAST</stp>
        <stp>FQ1 2007</stp>
        <stp>FQ1 2007</stp>
        <stp>[FA1_ivyerigx.xlsx]Stock Value!R6C37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" s="6"/>
      </tp>
      <tp t="s">
        <v>—</v>
        <stp/>
        <stp>##V3_BDHV12</stp>
        <stp>XOM US Equity</stp>
        <stp>BS_OPTIONS_OUTSTANDING</stp>
        <stp>FQ2 2007</stp>
        <stp>FQ2 2007</stp>
        <stp>[FA1_ivyerigx.xlsx]Bal Sheet - Standardized!R59C38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9" s="3"/>
      </tp>
      <tp t="s">
        <v>—</v>
        <stp/>
        <stp>##V3_BDHV12</stp>
        <stp>XOM US Equity</stp>
        <stp>BS_OPTIONS_OUTSTANDING</stp>
        <stp>FQ3 2007</stp>
        <stp>FQ3 2007</stp>
        <stp>[FA1_ivyerigx.xlsx]Bal Sheet - Standardized!R59C39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9" s="3"/>
      </tp>
      <tp t="s">
        <v>—</v>
        <stp/>
        <stp>##V3_BDHV12</stp>
        <stp>XOM US Equity</stp>
        <stp>BS_OPTIONS_OUTSTANDING</stp>
        <stp>FQ1 2005</stp>
        <stp>FQ1 2005</stp>
        <stp>[FA1_ivyerigx.xlsx]Bal Sheet - Standardized!R59C29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9" s="3"/>
      </tp>
      <tp>
        <v>237</v>
        <stp/>
        <stp>##V3_BDHV12</stp>
        <stp>XOM US Equity</stp>
        <stp>CF_TAX_BENEFIT_FRM_STOCK_OPTIONS</stp>
        <stp>FQ2 2007</stp>
        <stp>FQ2 2007</stp>
        <stp>[FA1_ivyerigx.xlsx]Cash Flow - Standardized!R45C38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5" s="4"/>
      </tp>
      <tp>
        <v>-31387</v>
        <stp/>
        <stp>##V3_BDHV12</stp>
        <stp>XOM US Equity</stp>
        <stp>NET_DEBT</stp>
        <stp>FQ1 2008</stp>
        <stp>FQ1 2008</stp>
        <stp>[FA1_ivyerigx.xlsx]Bal Sheet - Standardized!R60C41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60" s="3"/>
      </tp>
      <tp>
        <v>6360</v>
        <stp/>
        <stp>##V3_BDHV12</stp>
        <stp>XOM US Equity</stp>
        <stp>NET_DEBT</stp>
        <stp>FQ4 2000</stp>
        <stp>FQ4 2000</stp>
        <stp>[FA1_ivyerigx.xlsx]Bal Sheet - Standardized!R60C12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60" s="3"/>
      </tp>
      <tp t="s">
        <v>—</v>
        <stp/>
        <stp>##V3_BDHV12</stp>
        <stp>XOM US Equity</stp>
        <stp>CF_TAX_BENEFIT_FRM_STOCK_OPTIONS</stp>
        <stp>FQ2 2005</stp>
        <stp>FQ2 2005</stp>
        <stp>[FA1_ivyerigx.xlsx]Cash Flow - Standardized!R45C30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5" s="4"/>
      </tp>
      <tp>
        <v>4255</v>
        <stp/>
        <stp>##V3_BDHV12</stp>
        <stp>XOM US Equity</stp>
        <stp>NET_DEBT</stp>
        <stp>FQ4 2001</stp>
        <stp>FQ4 2001</stp>
        <stp>[FA1_ivyerigx.xlsx]Bal Sheet - Standardized!R60C16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60" s="3"/>
      </tp>
      <tp t="s">
        <v>—</v>
        <stp/>
        <stp>##V3_BDHV12</stp>
        <stp>XOM US Equity</stp>
        <stp>CF_TAX_BENEFIT_FRM_STOCK_OPTIONS</stp>
        <stp>FQ3 2003</stp>
        <stp>FQ3 2003</stp>
        <stp>[FA1_ivyerigx.xlsx]Cash Flow - Standardized!R45C23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5" s="4"/>
      </tp>
      <tp>
        <v>128</v>
        <stp/>
        <stp>##V3_BDHV12</stp>
        <stp>XOM US Equity</stp>
        <stp>CF_TAX_BENEFIT_FRM_STOCK_OPTIONS</stp>
        <stp>FQ2 2006</stp>
        <stp>FQ2 2006</stp>
        <stp>[FA1_ivyerigx.xlsx]Cash Flow - Standardized!R45C34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5" s="4"/>
      </tp>
      <tp t="s">
        <v>—</v>
        <stp/>
        <stp>##V3_BDHV12</stp>
        <stp>XOM US Equity</stp>
        <stp>CF_TAX_BENEFIT_FRM_STOCK_OPTIONS</stp>
        <stp>FQ3 2004</stp>
        <stp>FQ3 2004</stp>
        <stp>[FA1_ivyerigx.xlsx]Cash Flow - Standardized!R45C27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5" s="4"/>
      </tp>
      <tp>
        <v>50.960299999999997</v>
        <stp/>
        <stp>##V3_BDHV12</stp>
        <stp>XOM US Equity</stp>
        <stp>TCE_RATIO</stp>
        <stp>FQ2 2007</stp>
        <stp>FQ2 2007</stp>
        <stp>[FA1_ivyerigx.xlsx]Bal Sheet - Standardized!R62C38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2" s="3"/>
      </tp>
      <tp>
        <v>50.115099999999998</v>
        <stp/>
        <stp>##V3_BDHV12</stp>
        <stp>XOM US Equity</stp>
        <stp>TCE_RATIO</stp>
        <stp>FQ3 2007</stp>
        <stp>FQ3 2007</stp>
        <stp>[FA1_ivyerigx.xlsx]Bal Sheet - Standardized!R62C39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2" s="3"/>
      </tp>
      <tp>
        <v>5832</v>
        <stp/>
        <stp>##V3_BDHV12</stp>
        <stp>XOM US Equity</stp>
        <stp>BS_SH_OUT</stp>
        <stp>FQ3 2006</stp>
        <stp>FQ3 2006</stp>
        <stp>[FA1_ivyerigx.xlsx]Bal Sheet - Standardized!R53C35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3" s="3"/>
      </tp>
      <tp>
        <v>5945</v>
        <stp/>
        <stp>##V3_BDHV12</stp>
        <stp>XOM US Equity</stp>
        <stp>BS_SH_OUT</stp>
        <stp>FQ2 2006</stp>
        <stp>FQ2 2006</stp>
        <stp>[FA1_ivyerigx.xlsx]Bal Sheet - Standardized!R53C34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3" s="3"/>
      </tp>
      <tp>
        <v>51.526400000000002</v>
        <stp/>
        <stp>##V3_BDHV12</stp>
        <stp>XOM US Equity</stp>
        <stp>TCE_RATIO</stp>
        <stp>FQ1 2005</stp>
        <stp>FQ1 2005</stp>
        <stp>[FA1_ivyerigx.xlsx]Bal Sheet - Standardized!R62C29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2" s="3"/>
      </tp>
      <tp>
        <v>6540.0450000000001</v>
        <stp/>
        <stp>##V3_BDHV12</stp>
        <stp>XOM US Equity</stp>
        <stp>BS_SH_OUT</stp>
        <stp>FQ1 2004</stp>
        <stp>FQ1 2004</stp>
        <stp>[FA1_ivyerigx.xlsx]Bal Sheet - Standardized!R53C25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3" s="3"/>
      </tp>
      <tp>
        <v>6505.5070999999998</v>
        <stp/>
        <stp>##V3_BDHV12</stp>
        <stp>XOM US Equity</stp>
        <stp>BS_SH_OUT</stp>
        <stp>FQ2 2004</stp>
        <stp>FQ2 2004</stp>
        <stp>[FA1_ivyerigx.xlsx]Bal Sheet - Standardized!R53C26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3" s="3"/>
      </tp>
      <tp>
        <v>6451.2950000000001</v>
        <stp/>
        <stp>##V3_BDHV12</stp>
        <stp>XOM US Equity</stp>
        <stp>BS_SH_OUT</stp>
        <stp>FQ3 2004</stp>
        <stp>FQ3 2004</stp>
        <stp>[FA1_ivyerigx.xlsx]Bal Sheet - Standardized!R53C27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3" s="3"/>
      </tp>
      <tp>
        <v>3821.9513000000002</v>
        <stp/>
        <stp>##V3_BDHV12</stp>
        <stp>XOM US Equity</stp>
        <stp>CF_FREE_CASH_FLOW_FIRM</stp>
        <stp>FQ1 2000</stp>
        <stp>FQ1 2000</stp>
        <stp>[FA1_ivyerigx.xlsx]Cash Flow - Standardized!R47C9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7" s="4"/>
      </tp>
      <tp>
        <v>0</v>
        <stp/>
        <stp>##V3_BDHV12</stp>
        <stp>XOM US Equity</stp>
        <stp>NET_CHG_IN_LT_INVEST_DETAILED</stp>
        <stp>FQ4 2001</stp>
        <stp>FQ4 2001</stp>
        <stp>[FA1_ivyerigx.xlsx]Cash Flow - Standardized!R21C16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1" s="4"/>
      </tp>
      <tp t="s">
        <v>—</v>
        <stp/>
        <stp>##V3_BDHV12</stp>
        <stp>XOM US Equity</stp>
        <stp>CF_TAX_BENEFIT_FRM_STOCK_OPTIONS</stp>
        <stp>FQ1 2000</stp>
        <stp>FQ1 2000</stp>
        <stp>[FA1_ivyerigx.xlsx]Cash Flow - Standardized!R45C9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5" s="4"/>
      </tp>
      <tp>
        <v>0</v>
        <stp/>
        <stp>##V3_BDHV12</stp>
        <stp>XOM US Equity</stp>
        <stp>NET_CHG_IN_LT_INVEST_DETAILED</stp>
        <stp>FQ4 2000</stp>
        <stp>FQ4 2000</stp>
        <stp>[FA1_ivyerigx.xlsx]Cash Flow - Standardized!R21C12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1" s="4"/>
      </tp>
      <tp>
        <v>0</v>
        <stp/>
        <stp>##V3_BDHV12</stp>
        <stp>XOM US Equity</stp>
        <stp>NET_CHG_IN_LT_INVEST_DETAILED</stp>
        <stp>FQ1 2008</stp>
        <stp>FQ1 2008</stp>
        <stp>[FA1_ivyerigx.xlsx]Cash Flow - Standardized!R21C41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1" s="4"/>
      </tp>
      <tp>
        <v>66</v>
        <stp/>
        <stp>##V3_BDHV12</stp>
        <stp>XOM US Equity</stp>
        <stp>CF_ACT_CASH_PAID_FOR_INT_DEBT</stp>
        <stp>FQ1 2005</stp>
        <stp>FQ1 2005</stp>
        <stp>[FA1_ivyerigx.xlsx]Cash Flow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4"/>
      </tp>
      <tp>
        <v>55</v>
        <stp/>
        <stp>##V3_BDHV12</stp>
        <stp>XOM US Equity</stp>
        <stp>CF_ACT_CASH_PAID_FOR_INT_DEBT</stp>
        <stp>FQ2 2002</stp>
        <stp>FQ2 2002</stp>
        <stp>[FA1_ivyerigx.xlsx]Cash Flow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4"/>
      </tp>
      <tp>
        <v>78</v>
        <stp/>
        <stp>##V3_BDHV12</stp>
        <stp>XOM US Equity</stp>
        <stp>CF_ACT_CASH_PAID_FOR_INT_DEBT</stp>
        <stp>FQ2 2001</stp>
        <stp>FQ2 2001</stp>
        <stp>[FA1_ivyerigx.xlsx]Cash Flow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4"/>
      </tp>
      <tp>
        <v>73</v>
        <stp/>
        <stp>##V3_BDHV12</stp>
        <stp>XOM US Equity</stp>
        <stp>CF_ACT_CASH_PAID_FOR_INT_DEBT</stp>
        <stp>FQ1 2004</stp>
        <stp>FQ1 2004</stp>
        <stp>[FA1_ivyerigx.xlsx]Cash Flow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4"/>
      </tp>
      <tp>
        <v>251</v>
        <stp/>
        <stp>##V3_BDHV12</stp>
        <stp>XOM US Equity</stp>
        <stp>CF_ACT_CASH_PAID_FOR_INT_DEBT</stp>
        <stp>FQ2 2000</stp>
        <stp>FQ2 2000</stp>
        <stp>[FA1_ivyerigx.xlsx]Cash Flow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4"/>
      </tp>
      <tp>
        <v>92</v>
        <stp/>
        <stp>##V3_BDHV12</stp>
        <stp>XOM US Equity</stp>
        <stp>CF_ACT_CASH_PAID_FOR_INT_DEBT</stp>
        <stp>FQ1 2003</stp>
        <stp>FQ1 2003</stp>
        <stp>[FA1_ivyerigx.xlsx]Cash Flow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4"/>
      </tp>
      <tp>
        <v>6755</v>
        <stp/>
        <stp>##V3_BDHV12</stp>
        <stp>XOM US Equity</stp>
        <stp>IS_SH_FOR_DILUTED_EPS</stp>
        <stp>FQ4 2002</stp>
        <stp>FQ4 2002</stp>
        <stp>[FA1_ivyerigx.xlsx]Income - Adjusted!R38C20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8" s="2"/>
      </tp>
      <tp>
        <v>7027</v>
        <stp/>
        <stp>##V3_BDHV12</stp>
        <stp>XOM US Equity</stp>
        <stp>IS_SH_FOR_DILUTED_EPS</stp>
        <stp>FQ4 2000</stp>
        <stp>FQ4 2000</stp>
        <stp>[FA1_ivyerigx.xlsx]Income - Adjusted!R38C12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8" s="2"/>
      </tp>
      <tp>
        <v>6714</v>
        <stp/>
        <stp>##V3_BDHV12</stp>
        <stp>XOM US Equity</stp>
        <stp>IS_SH_FOR_DILUTED_EPS</stp>
        <stp>FQ1 2003</stp>
        <stp>FQ1 2003</stp>
        <stp>[FA1_ivyerigx.xlsx]Income - Adjusted!R38C21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8" s="2"/>
      </tp>
      <tp>
        <v>6989</v>
        <stp/>
        <stp>##V3_BDHV12</stp>
        <stp>XOM US Equity</stp>
        <stp>IS_SH_FOR_DILUTED_EPS</stp>
        <stp>FQ1 2001</stp>
        <stp>FQ1 2001</stp>
        <stp>[FA1_ivyerigx.xlsx]Income - Adjusted!R38C13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8" s="2"/>
      </tp>
      <tp>
        <v>6547</v>
        <stp/>
        <stp>##V3_BDHV12</stp>
        <stp>XOM US Equity</stp>
        <stp>IS_SH_FOR_DILUTED_EPS</stp>
        <stp>FQ2 2004</stp>
        <stp>FQ2 2004</stp>
        <stp>[FA1_ivyerigx.xlsx]Income - Adjusted!R38C26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8" s="2"/>
      </tp>
      <tp>
        <v>6030</v>
        <stp/>
        <stp>##V3_BDHV12</stp>
        <stp>XOM US Equity</stp>
        <stp>IS_SH_FOR_DILUTED_EPS</stp>
        <stp>FQ2 2006</stp>
        <stp>FQ2 2006</stp>
        <stp>[FA1_ivyerigx.xlsx]Income - Adjusted!R38C34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8" s="2"/>
      </tp>
      <tp>
        <v>0</v>
        <stp/>
        <stp>##V3_BDHV12</stp>
        <stp>XOM US Equity</stp>
        <stp>OTHER_ADJUSTMENTS</stp>
        <stp>FQ1 2000</stp>
        <stp>FQ1 2000</stp>
        <stp>[FA1_ivyerigx.xlsx]Income - Adjusted!R26C9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6" s="2"/>
      </tp>
      <tp>
        <v>4185</v>
        <stp/>
        <stp>##V3_BDHV12</stp>
        <stp>XOM US Equity</stp>
        <stp>EARN_FOR_COMMON</stp>
        <stp>FQ4 1999</stp>
        <stp>FQ4 1999</stp>
        <stp>[FA1_ivyerigx.xlsx]Income - Adjusted!R29C8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29" s="2"/>
      </tp>
      <tp>
        <v>11.133900000000001</v>
        <stp/>
        <stp>##V3_BDHV12</stp>
        <stp>XOM US Equity</stp>
        <stp>BOOK_VAL_PER_SH</stp>
        <stp>FQ4 2002</stp>
        <stp>FQ4 2002</stp>
        <stp>[FA1_ivyerigx.xlsx]Per Share!R26C20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6" s="5"/>
      </tp>
      <tp>
        <v>10.2102</v>
        <stp/>
        <stp>##V3_BDHV12</stp>
        <stp>XOM US Equity</stp>
        <stp>BOOK_VAL_PER_SH</stp>
        <stp>FQ4 2000</stp>
        <stp>FQ4 2000</stp>
        <stp>[FA1_ivyerigx.xlsx]Per Share!R26C12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6" s="5"/>
      </tp>
      <tp>
        <v>11.914999999999999</v>
        <stp/>
        <stp>##V3_BDHV12</stp>
        <stp>XOM US Equity</stp>
        <stp>BOOK_VAL_PER_SH</stp>
        <stp>FQ1 2003</stp>
        <stp>FQ1 2003</stp>
        <stp>[FA1_ivyerigx.xlsx]Per Share!R26C21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6" s="5"/>
      </tp>
      <tp>
        <v>10.418699999999999</v>
        <stp/>
        <stp>##V3_BDHV12</stp>
        <stp>XOM US Equity</stp>
        <stp>BOOK_VAL_PER_SH</stp>
        <stp>FQ1 2001</stp>
        <stp>FQ1 2001</stp>
        <stp>[FA1_ivyerigx.xlsx]Per Share!R26C13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6" s="5"/>
      </tp>
      <tp>
        <v>19.4725</v>
        <stp/>
        <stp>##V3_BDHV12</stp>
        <stp>XOM US Equity</stp>
        <stp>BOOK_VAL_PER_SH</stp>
        <stp>FQ2 2006</stp>
        <stp>FQ2 2006</stp>
        <stp>[FA1_ivyerigx.xlsx]Per Share!R26C34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6" s="5"/>
      </tp>
      <tp>
        <v>14.377800000000001</v>
        <stp/>
        <stp>##V3_BDHV12</stp>
        <stp>XOM US Equity</stp>
        <stp>BOOK_VAL_PER_SH</stp>
        <stp>FQ2 2004</stp>
        <stp>FQ2 2004</stp>
        <stp>[FA1_ivyerigx.xlsx]Per Share!R26C26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6" s="5"/>
      </tp>
      <tp t="s">
        <v>—</v>
        <stp/>
        <stp>##V3_BDHV12</stp>
        <stp>XOM US Equity</stp>
        <stp>OTHER_ADJUSTMENTS</stp>
        <stp>FQ1 1999</stp>
        <stp>FQ1 1999</stp>
        <stp>[FA1_ivyerigx.xlsx]Income - Adjusted!R26C5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6" s="2"/>
      </tp>
      <tp>
        <v>44.41</v>
        <stp/>
        <stp>##V3_BDHV12</stp>
        <stp>XOM US Equity</stp>
        <stp>PX_LAST</stp>
        <stp>FQ2 2004</stp>
        <stp>FQ2 2004</stp>
        <stp>[FA1_ivyerigx.xlsx]Stock Value!R6C26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" s="6"/>
      </tp>
      <tp>
        <v>76.63</v>
        <stp/>
        <stp>##V3_BDHV12</stp>
        <stp>XOM US Equity</stp>
        <stp>PX_LAST</stp>
        <stp>FQ4 2006</stp>
        <stp>FQ4 2006</stp>
        <stp>[FA1_ivyerigx.xlsx]Stock Value!R6C36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" s="6"/>
      </tp>
      <tp>
        <v>39.299999999999997</v>
        <stp/>
        <stp>##V3_BDHV12</stp>
        <stp>XOM US Equity</stp>
        <stp>PX_LAST</stp>
        <stp>FQ4 2001</stp>
        <stp>FQ4 2001</stp>
        <stp>[FA1_ivyerigx.xlsx]Stock Value!R6C16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" s="6"/>
      </tp>
      <tp>
        <v>0.22</v>
        <stp/>
        <stp>##V3_BDHV12</stp>
        <stp>XOM US Equity</stp>
        <stp>EQY_DPS</stp>
        <stp>FQ4 2001</stp>
        <stp>FQ4 2001</stp>
        <stp>[FA1_ivyerigx.xlsx]Income - Adjusted!R53C16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3" s="2"/>
      </tp>
      <tp>
        <v>0.25</v>
        <stp/>
        <stp>##V3_BDHV12</stp>
        <stp>XOM US Equity</stp>
        <stp>EQY_DPS</stp>
        <stp>FQ4 2003</stp>
        <stp>FQ4 2003</stp>
        <stp>[FA1_ivyerigx.xlsx]Income - Adjusted!R53C24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3" s="2"/>
      </tp>
      <tp>
        <v>0.35</v>
        <stp/>
        <stp>##V3_BDHV12</stp>
        <stp>XOM US Equity</stp>
        <stp>EQY_DPS</stp>
        <stp>FQ4 2007</stp>
        <stp>FQ4 2007</stp>
        <stp>[FA1_ivyerigx.xlsx]Income - Adjusted!R53C40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3" s="2"/>
      </tp>
      <tp>
        <v>0.28999999999999998</v>
        <stp/>
        <stp>##V3_BDHV12</stp>
        <stp>XOM US Equity</stp>
        <stp>EQY_DPS</stp>
        <stp>FQ4 2005</stp>
        <stp>FQ4 2005</stp>
        <stp>[FA1_ivyerigx.xlsx]Income - Adjusted!R53C32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3" s="2"/>
      </tp>
      <tp>
        <v>119</v>
        <stp/>
        <stp>##V3_BDHV12</stp>
        <stp>XOM US Equity</stp>
        <stp>CF_TAX_BENEFIT_FRM_STOCK_OPTIONS</stp>
        <stp>FQ3 2007</stp>
        <stp>FQ3 2007</stp>
        <stp>[FA1_ivyerigx.xlsx]Cash Flow - Standardized!R45C39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5" s="4"/>
      </tp>
      <tp t="s">
        <v>—</v>
        <stp/>
        <stp>##V3_BDHV12</stp>
        <stp>XOM US Equity</stp>
        <stp>CF_TAX_BENEFIT_FRM_STOCK_OPTIONS</stp>
        <stp>FQ3 2005</stp>
        <stp>FQ3 2005</stp>
        <stp>[FA1_ivyerigx.xlsx]Cash Flow - Standardized!R45C31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5" s="4"/>
      </tp>
      <tp t="s">
        <v>—</v>
        <stp/>
        <stp>##V3_BDHV12</stp>
        <stp>XOM US Equity</stp>
        <stp>CF_TAX_BENEFIT_FRM_STOCK_OPTIONS</stp>
        <stp>FQ1 2002</stp>
        <stp>FQ1 2002</stp>
        <stp>[FA1_ivyerigx.xlsx]Cash Flow - Standardized!R45C17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5" s="4"/>
      </tp>
      <tp>
        <v>13</v>
        <stp/>
        <stp>##V3_BDHV12</stp>
        <stp>XOM US Equity</stp>
        <stp>CF_TAX_BENEFIT_FRM_STOCK_OPTIONS</stp>
        <stp>FQ4 2007</stp>
        <stp>FQ4 2007</stp>
        <stp>[FA1_ivyerigx.xlsx]Cash Flow - Standardized!R45C40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5" s="4"/>
      </tp>
      <tp t="s">
        <v>—</v>
        <stp/>
        <stp>##V3_BDHV12</stp>
        <stp>XOM US Equity</stp>
        <stp>CF_TAX_BENEFIT_FRM_STOCK_OPTIONS</stp>
        <stp>FQ2 2003</stp>
        <stp>FQ2 2003</stp>
        <stp>[FA1_ivyerigx.xlsx]Cash Flow - Standardized!R45C22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5" s="4"/>
      </tp>
      <tp t="s">
        <v>—</v>
        <stp/>
        <stp>##V3_BDHV12</stp>
        <stp>XOM US Equity</stp>
        <stp>CF_TAX_BENEFIT_FRM_STOCK_OPTIONS</stp>
        <stp>FQ1 2001</stp>
        <stp>FQ1 2001</stp>
        <stp>[FA1_ivyerigx.xlsx]Cash Flow - Standardized!R45C13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5" s="4"/>
      </tp>
      <tp>
        <v>142</v>
        <stp/>
        <stp>##V3_BDHV12</stp>
        <stp>XOM US Equity</stp>
        <stp>CF_TAX_BENEFIT_FRM_STOCK_OPTIONS</stp>
        <stp>FQ3 2006</stp>
        <stp>FQ3 2006</stp>
        <stp>[FA1_ivyerigx.xlsx]Cash Flow - Standardized!R45C35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5" s="4"/>
      </tp>
      <tp t="s">
        <v>—</v>
        <stp/>
        <stp>##V3_BDHV12</stp>
        <stp>XOM US Equity</stp>
        <stp>CF_TAX_BENEFIT_FRM_STOCK_OPTIONS</stp>
        <stp>FQ2 2004</stp>
        <stp>FQ2 2004</stp>
        <stp>[FA1_ivyerigx.xlsx]Cash Flow - Standardized!R45C26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5" s="4"/>
      </tp>
      <tp>
        <v>4.0407000000000002</v>
        <stp/>
        <stp>##V3_BDHV12</stp>
        <stp>XOM US Equity</stp>
        <stp>CASH_FLOW_PER_SH</stp>
        <stp>FQ1 2008</stp>
        <stp>FQ1 2008</stp>
        <stp>[FA1_ivyerigx.xlsx]Per Share!R22C41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2" s="5"/>
      </tp>
      <tp>
        <v>5633</v>
        <stp/>
        <stp>##V3_BDHV12</stp>
        <stp>XOM US Equity</stp>
        <stp>BS_SH_OUT</stp>
        <stp>FQ1 2007</stp>
        <stp>FQ1 2007</stp>
        <stp>[FA1_ivyerigx.xlsx]Bal Sheet - Standardized!R53C37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3" s="3"/>
      </tp>
      <tp>
        <v>2080.4</v>
        <stp/>
        <stp>##V3_BDHV12</stp>
        <stp>XOM US Equity</stp>
        <stp>IS_TOT_CASH_COM_DVD</stp>
        <stp>FQ2 2008</stp>
        <stp>FQ2 2008</stp>
        <stp>[FA1_ivyerigx.xlsx]Income - Adjusted!R54C42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4" s="2"/>
      </tp>
      <tp>
        <v>0</v>
        <stp/>
        <stp>##V3_BDHV12</stp>
        <stp>XOM US Equity</stp>
        <stp>IS_TOT_CASH_PFD_DVD</stp>
        <stp>FQ2 2008</stp>
        <stp>FQ2 2008</stp>
        <stp>[FA1_ivyerigx.xlsx]Income - Adjusted!R25C42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2"/>
      </tp>
      <tp>
        <v>120</v>
        <stp/>
        <stp>##V3_BDHV12</stp>
        <stp>XOM US Equity</stp>
        <stp>CF_ACT_CASH_PAID_FOR_INT_DEBT</stp>
        <stp>FQ3 2002</stp>
        <stp>FQ3 2002</stp>
        <stp>[FA1_ivyerigx.xlsx]Cash Flow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4"/>
      </tp>
      <tp>
        <v>0.5</v>
        <stp/>
        <stp>##V3_BDHV12</stp>
        <stp>XOM US Equity</stp>
        <stp>IS_EPS</stp>
        <stp>FQ1 2000</stp>
        <stp>FQ1 2000</stp>
        <stp>[FA1_ivyerigx.xlsx]Per Share!R14C9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4" s="5"/>
      </tp>
      <tp>
        <v>108</v>
        <stp/>
        <stp>##V3_BDHV12</stp>
        <stp>XOM US Equity</stp>
        <stp>CF_ACT_CASH_PAID_FOR_INT_DEBT</stp>
        <stp>FQ1 2006</stp>
        <stp>FQ1 2006</stp>
        <stp>[FA1_ivyerigx.xlsx]Cash Flow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4"/>
      </tp>
      <tp>
        <v>159</v>
        <stp/>
        <stp>##V3_BDHV12</stp>
        <stp>XOM US Equity</stp>
        <stp>CF_ACT_CASH_PAID_FOR_INT_DEBT</stp>
        <stp>FQ3 2001</stp>
        <stp>FQ3 2001</stp>
        <stp>[FA1_ivyerigx.xlsx]Cash Flow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4"/>
      </tp>
      <tp>
        <v>35.031300000000002</v>
        <stp/>
        <stp>##V3_BDHV12</stp>
        <stp>XOM US Equity</stp>
        <stp>PX_LOW</stp>
        <stp>FQ4 1999</stp>
        <stp>FQ4 1999</stp>
        <stp>[FA1_ivyerigx.xlsx]Stock Value!R10C8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0" s="6"/>
      </tp>
      <tp>
        <v>137</v>
        <stp/>
        <stp>##V3_BDHV12</stp>
        <stp>XOM US Equity</stp>
        <stp>CF_ACT_CASH_PAID_FOR_INT_DEBT</stp>
        <stp>FQ1 2007</stp>
        <stp>FQ1 2007</stp>
        <stp>[FA1_ivyerigx.xlsx]Cash Flow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4"/>
      </tp>
      <tp>
        <v>114</v>
        <stp/>
        <stp>##V3_BDHV12</stp>
        <stp>XOM US Equity</stp>
        <stp>CF_ACT_CASH_PAID_FOR_INT_DEBT</stp>
        <stp>FQ3 2000</stp>
        <stp>FQ3 2000</stp>
        <stp>[FA1_ivyerigx.xlsx]Cash Flow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4"/>
      </tp>
      <tp>
        <v>2.0499999999999998</v>
        <stp/>
        <stp>##V3_BDHV12</stp>
        <stp>XOM US Equity</stp>
        <stp>IS_BASIC_EPS_CONT_OPS</stp>
        <stp>FQ1 2008</stp>
        <stp>FQ1 2008</stp>
        <stp>[FA1_ivyerigx.xlsx]Income - Adjusted!R36C41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6" s="2"/>
      </tp>
      <tp>
        <v>6508</v>
        <stp/>
        <stp>##V3_BDHV12</stp>
        <stp>XOM US Equity</stp>
        <stp>IS_SH_FOR_DILUTED_EPS</stp>
        <stp>FQ3 2004</stp>
        <stp>FQ3 2004</stp>
        <stp>[FA1_ivyerigx.xlsx]Income - Adjusted!R38C27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8" s="2"/>
      </tp>
      <tp>
        <v>5922</v>
        <stp/>
        <stp>##V3_BDHV12</stp>
        <stp>XOM US Equity</stp>
        <stp>IS_SH_FOR_DILUTED_EPS</stp>
        <stp>FQ3 2006</stp>
        <stp>FQ3 2006</stp>
        <stp>[FA1_ivyerigx.xlsx]Income - Adjusted!R38C35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8" s="2"/>
      </tp>
      <tp>
        <v>19.991900000000001</v>
        <stp/>
        <stp>##V3_BDHV12</stp>
        <stp>XOM US Equity</stp>
        <stp>BOOK_VAL_PER_SH</stp>
        <stp>FQ3 2006</stp>
        <stp>FQ3 2006</stp>
        <stp>[FA1_ivyerigx.xlsx]Per Share!R26C35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6" s="5"/>
      </tp>
      <tp>
        <v>14.7942</v>
        <stp/>
        <stp>##V3_BDHV12</stp>
        <stp>XOM US Equity</stp>
        <stp>BOOK_VAL_PER_SH</stp>
        <stp>FQ3 2004</stp>
        <stp>FQ3 2004</stp>
        <stp>[FA1_ivyerigx.xlsx]Per Share!R26C27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6" s="5"/>
      </tp>
      <tp>
        <v>0.21</v>
        <stp/>
        <stp>##V3_BDHV12</stp>
        <stp>XOM US Equity</stp>
        <stp>IS_DIL_EPS_CONT_OPS</stp>
        <stp>FQ1 1999</stp>
        <stp>FQ1 1999</stp>
        <stp>[FA1_ivyerigx.xlsx]Per Share!R19C5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9" s="5"/>
      </tp>
      <tp>
        <v>0.245</v>
        <stp/>
        <stp>##V3_BDHV12</stp>
        <stp>XOM US Equity</stp>
        <stp>IS_DIL_EPS_CONT_OPS</stp>
        <stp>FQ2 1999</stp>
        <stp>FQ2 1999</stp>
        <stp>[FA1_ivyerigx.xlsx]Per Share!R19C6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9" s="5"/>
      </tp>
      <tp>
        <v>0.30499999999999999</v>
        <stp/>
        <stp>##V3_BDHV12</stp>
        <stp>XOM US Equity</stp>
        <stp>IS_DIL_EPS_CONT_OPS</stp>
        <stp>FQ3 1999</stp>
        <stp>FQ3 1999</stp>
        <stp>[FA1_ivyerigx.xlsx]Per Share!R19C7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9" s="5"/>
      </tp>
      <tp>
        <v>19549</v>
        <stp/>
        <stp>##V3_BDHV12</stp>
        <stp>XOM US Equity</stp>
        <stp>BS_ACCT_NOTE_RCV</stp>
        <stp>FQ4 2001</stp>
        <stp>FQ4 2001</stp>
        <stp>[FA1_ivyerigx.xlsx]Bal Sheet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3"/>
      </tp>
      <tp>
        <v>0</v>
        <stp/>
        <stp>##V3_BDHV12</stp>
        <stp>XOM US Equity</stp>
        <stp>BS_DISCLOSED_INTANGIBLES</stp>
        <stp>FQ3 2002</stp>
        <stp>FQ3 2002</stp>
        <stp>[FA1_ivyerigx.xlsx]Bal Sheet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3"/>
      </tp>
      <tp>
        <v>22996</v>
        <stp/>
        <stp>##V3_BDHV12</stp>
        <stp>XOM US Equity</stp>
        <stp>BS_ACCT_NOTE_RCV</stp>
        <stp>FQ4 2000</stp>
        <stp>FQ4 2000</stp>
        <stp>[FA1_ivyerigx.xlsx]Bal Sheet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3"/>
      </tp>
      <tp>
        <v>1.6112</v>
        <stp/>
        <stp>##V3_BDHV12</stp>
        <stp>XOM US Equity</stp>
        <stp>FREE_CASH_FLOW_PER_SH</stp>
        <stp>FQ1 2005</stp>
        <stp>FQ1 2005</stp>
        <stp>[FA1_ivyerigx.xlsx]Per Share!R23C29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3" s="5"/>
      </tp>
      <tp>
        <v>1.3884000000000001</v>
        <stp/>
        <stp>##V3_BDHV12</stp>
        <stp>XOM US Equity</stp>
        <stp>FREE_CASH_FLOW_PER_SH</stp>
        <stp>FQ4 2004</stp>
        <stp>FQ4 2004</stp>
        <stp>[FA1_ivyerigx.xlsx]Per Share!R23C28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3" s="5"/>
      </tp>
      <tp>
        <v>0</v>
        <stp/>
        <stp>##V3_BDHV12</stp>
        <stp>XOM US Equity</stp>
        <stp>BS_DISCLOSED_INTANGIBLES</stp>
        <stp>FQ1 2007</stp>
        <stp>FQ1 2007</stp>
        <stp>[FA1_ivyerigx.xlsx]Bal Sheet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3"/>
      </tp>
      <tp>
        <v>0</v>
        <stp/>
        <stp>##V3_BDHV12</stp>
        <stp>XOM US Equity</stp>
        <stp>BS_DISCLOSED_INTANGIBLES</stp>
        <stp>FQ3 2000</stp>
        <stp>FQ3 2000</stp>
        <stp>[FA1_ivyerigx.xlsx]Bal Sheet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3"/>
      </tp>
      <tp>
        <v>36428</v>
        <stp/>
        <stp>##V3_BDHV12</stp>
        <stp>XOM US Equity</stp>
        <stp>BS_ACCT_NOTE_RCV</stp>
        <stp>FQ1 2008</stp>
        <stp>FQ1 2008</stp>
        <stp>[FA1_ivyerigx.xlsx]Bal Sheet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3"/>
      </tp>
      <tp>
        <v>0</v>
        <stp/>
        <stp>##V3_BDHV12</stp>
        <stp>XOM US Equity</stp>
        <stp>BS_DISCLOSED_INTANGIBLES</stp>
        <stp>FQ1 2006</stp>
        <stp>FQ1 2006</stp>
        <stp>[FA1_ivyerigx.xlsx]Bal Sheet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3"/>
      </tp>
      <tp>
        <v>0</v>
        <stp/>
        <stp>##V3_BDHV12</stp>
        <stp>XOM US Equity</stp>
        <stp>BS_DISCLOSED_INTANGIBLES</stp>
        <stp>FQ3 2001</stp>
        <stp>FQ3 2001</stp>
        <stp>[FA1_ivyerigx.xlsx]Bal Sheet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3"/>
      </tp>
      <tp>
        <v>0.44</v>
        <stp/>
        <stp>##V3_BDHV12</stp>
        <stp>XOM US Equity</stp>
        <stp>IS_BASIC_EPS_CONT_OPS</stp>
        <stp>FQ3 2002</stp>
        <stp>FQ3 2002</stp>
        <stp>[FA1_ivyerigx.xlsx]Per Share!R16C19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6" s="5"/>
      </tp>
      <tp t="s">
        <v>—</v>
        <stp/>
        <stp>##V3_BDHV12</stp>
        <stp>XOM US Equity</stp>
        <stp>EBITA</stp>
        <stp>FQ4 2005</stp>
        <stp>FQ4 2005</stp>
        <stp>[FA1_ivyerigx.xlsx]Income - Adjusted!R47C32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7" s="2"/>
      </tp>
      <tp t="s">
        <v>—</v>
        <stp/>
        <stp>##V3_BDHV12</stp>
        <stp>XOM US Equity</stp>
        <stp>EBITA</stp>
        <stp>FQ4 2001</stp>
        <stp>FQ4 2001</stp>
        <stp>[FA1_ivyerigx.xlsx]Income - Adjusted!R47C16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7" s="2"/>
      </tp>
      <tp t="s">
        <v>—</v>
        <stp/>
        <stp>##V3_BDHV12</stp>
        <stp>XOM US Equity</stp>
        <stp>EBITA</stp>
        <stp>FQ4 2003</stp>
        <stp>FQ4 2003</stp>
        <stp>[FA1_ivyerigx.xlsx]Income - Adjusted!R47C24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7" s="2"/>
      </tp>
      <tp>
        <v>15456</v>
        <stp/>
        <stp>##V3_BDHV12</stp>
        <stp>XOM US Equity</stp>
        <stp>EBITA</stp>
        <stp>FQ4 2007</stp>
        <stp>FQ4 2007</stp>
        <stp>[FA1_ivyerigx.xlsx]Income - Adjusted!R47C40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7" s="2"/>
      </tp>
      <tp>
        <v>1211</v>
        <stp/>
        <stp>##V3_BDHV12</stp>
        <stp>XOM US Equity</stp>
        <stp>IS_INC_BEF_XO_ITEM</stp>
        <stp>FQ2 1999</stp>
        <stp>FQ2 1999</stp>
        <stp>[FA1_ivyerigx.xlsx]Income - Adjusted!R20C6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2"/>
      </tp>
      <tp>
        <v>3242</v>
        <stp/>
        <stp>##V3_BDHV12</stp>
        <stp>XOM US Equity</stp>
        <stp>IS_SG&amp;A_EXPENSE</stp>
        <stp>FQ1 2004</stp>
        <stp>FQ1 2004</stp>
        <stp>[FA1_ivyerigx.xlsx]Income - Adjusted!R11C25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1" s="2"/>
      </tp>
      <tp>
        <v>3340</v>
        <stp/>
        <stp>##V3_BDHV12</stp>
        <stp>XOM US Equity</stp>
        <stp>IS_SG&amp;A_EXPENSE</stp>
        <stp>FQ2 2003</stp>
        <stp>FQ2 2003</stp>
        <stp>[FA1_ivyerigx.xlsx]Income - Adjusted!R11C22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1" s="2"/>
      </tp>
      <tp>
        <v>3358</v>
        <stp/>
        <stp>##V3_BDHV12</stp>
        <stp>XOM US Equity</stp>
        <stp>IS_SG&amp;A_EXPENSE</stp>
        <stp>FQ3 2000</stp>
        <stp>FQ3 2000</stp>
        <stp>[FA1_ivyerigx.xlsx]Income - Adjusted!R11C11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2"/>
      </tp>
      <tp t="s">
        <v>—</v>
        <stp/>
        <stp>##V3_BDHV12</stp>
        <stp>XOM US Equity</stp>
        <stp>IS_DEPR_EXP</stp>
        <stp>FQ3 2005</stp>
        <stp>FQ3 2005</stp>
        <stp>[FA1_ivyerigx.xlsx]Income - Adjusted!R56C31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6" s="2"/>
      </tp>
      <tp t="s">
        <v>—</v>
        <stp/>
        <stp>##V3_BDHV12</stp>
        <stp>XOM US Equity</stp>
        <stp>IS_DEPR_EXP</stp>
        <stp>FQ4 2003</stp>
        <stp>FQ4 2003</stp>
        <stp>[FA1_ivyerigx.xlsx]Income - Adjusted!R56C24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6" s="2"/>
      </tp>
      <tp>
        <v>2942</v>
        <stp/>
        <stp>##V3_BDHV12</stp>
        <stp>XOM US Equity</stp>
        <stp>IS_DEPR_EXP</stp>
        <stp>FQ1 2007</stp>
        <stp>FQ1 2007</stp>
        <stp>[FA1_ivyerigx.xlsx]Income - Adjusted!R56C37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6" s="2"/>
      </tp>
      <tp t="s">
        <v>—</v>
        <stp/>
        <stp>##V3_BDHV12</stp>
        <stp>XOM US Equity</stp>
        <stp>IS_DEPR_EXP</stp>
        <stp>FQ3 2004</stp>
        <stp>FQ3 2004</stp>
        <stp>[FA1_ivyerigx.xlsx]Income - Adjusted!R56C27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6" s="2"/>
      </tp>
      <tp t="s">
        <v>—</v>
        <stp/>
        <stp>##V3_BDHV12</stp>
        <stp>XOM US Equity</stp>
        <stp>IS_DEPR_EXP</stp>
        <stp>FQ4 2000</stp>
        <stp>FQ4 2000</stp>
        <stp>[FA1_ivyerigx.xlsx]Income - Adjusted!R56C12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6" s="2"/>
      </tp>
      <tp>
        <v>10260</v>
        <stp/>
        <stp>##V3_BDHV12</stp>
        <stp>XOM US Equity</stp>
        <stp>EARN_FOR_COMMON</stp>
        <stp>FQ2 2007</stp>
        <stp>FQ2 2007</stp>
        <stp>[FA1_ivyerigx.xlsx]Income - Adjusted!R29C38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29" s="2"/>
      </tp>
      <tp>
        <v>6411</v>
        <stp/>
        <stp>##V3_BDHV12</stp>
        <stp>XOM US Equity</stp>
        <stp>IS_AVG_NUM_SH_FOR_EPS</stp>
        <stp>FQ4 2004</stp>
        <stp>FQ4 2004</stp>
        <stp>[FA1_ivyerigx.xlsx]Income - Adjusted!R33C28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3" s="2"/>
      </tp>
      <tp>
        <v>6365</v>
        <stp/>
        <stp>##V3_BDHV12</stp>
        <stp>XOM US Equity</stp>
        <stp>IS_AVG_NUM_SH_FOR_EPS</stp>
        <stp>FQ1 2005</stp>
        <stp>FQ1 2005</stp>
        <stp>[FA1_ivyerigx.xlsx]Income - Adjusted!R33C29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3" s="2"/>
      </tp>
      <tp>
        <v>0.32</v>
        <stp/>
        <stp>##V3_BDHV12</stp>
        <stp>XOM US Equity</stp>
        <stp>EQY_DPS</stp>
        <stp>FQ4 2006</stp>
        <stp>FQ4 2006</stp>
        <stp>[FA1_ivyerigx.xlsx]Per Share!R20C36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0" s="5"/>
      </tp>
      <tp>
        <v>0.32</v>
        <stp/>
        <stp>##V3_BDHV12</stp>
        <stp>XOM US Equity</stp>
        <stp>EQY_DPS</stp>
        <stp>FQ1 2007</stp>
        <stp>FQ1 2007</stp>
        <stp>[FA1_ivyerigx.xlsx]Per Share!R20C37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0" s="5"/>
      </tp>
      <tp>
        <v>0.22</v>
        <stp/>
        <stp>##V3_BDHV12</stp>
        <stp>XOM US Equity</stp>
        <stp>EQY_DPS</stp>
        <stp>FQ2 2000</stp>
        <stp>FQ2 2000</stp>
        <stp>[FA1_ivyerigx.xlsx]Per Share!R20C10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0" s="5"/>
      </tp>
      <tp>
        <v>0.25</v>
        <stp/>
        <stp>##V3_BDHV12</stp>
        <stp>XOM US Equity</stp>
        <stp>EQY_DPS</stp>
        <stp>FQ3 2003</stp>
        <stp>FQ3 2003</stp>
        <stp>[FA1_ivyerigx.xlsx]Per Share!R20C23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0" s="5"/>
      </tp>
      <tp>
        <v>0</v>
        <stp/>
        <stp>##V3_BDHV12</stp>
        <stp>XOM US Equity</stp>
        <stp>BS_DISCLOSED_INTANGIBLES</stp>
        <stp>FQ2 2002</stp>
        <stp>FQ2 2002</stp>
        <stp>[FA1_ivyerigx.xlsx]Bal Sheet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3"/>
      </tp>
      <tp>
        <v>0</v>
        <stp/>
        <stp>##V3_BDHV12</stp>
        <stp>XOM US Equity</stp>
        <stp>BS_DISCLOSED_INTANGIBLES</stp>
        <stp>FQ1 2005</stp>
        <stp>FQ1 2005</stp>
        <stp>[FA1_ivyerigx.xlsx]Bal Sheet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3"/>
      </tp>
      <tp>
        <v>0</v>
        <stp/>
        <stp>##V3_BDHV12</stp>
        <stp>XOM US Equity</stp>
        <stp>BS_DISCLOSED_INTANGIBLES</stp>
        <stp>FQ1 2004</stp>
        <stp>FQ1 2004</stp>
        <stp>[FA1_ivyerigx.xlsx]Bal Sheet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3"/>
      </tp>
      <tp>
        <v>0</v>
        <stp/>
        <stp>##V3_BDHV12</stp>
        <stp>XOM US Equity</stp>
        <stp>BS_DISCLOSED_INTANGIBLES</stp>
        <stp>FQ2 2000</stp>
        <stp>FQ2 2000</stp>
        <stp>[FA1_ivyerigx.xlsx]Bal Sheet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3"/>
      </tp>
      <tp>
        <v>0</v>
        <stp/>
        <stp>##V3_BDHV12</stp>
        <stp>XOM US Equity</stp>
        <stp>BS_DISCLOSED_INTANGIBLES</stp>
        <stp>FQ1 2003</stp>
        <stp>FQ1 2003</stp>
        <stp>[FA1_ivyerigx.xlsx]Bal Sheet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3"/>
      </tp>
      <tp>
        <v>0</v>
        <stp/>
        <stp>##V3_BDHV12</stp>
        <stp>XOM US Equity</stp>
        <stp>BS_DISCLOSED_INTANGIBLES</stp>
        <stp>FQ2 2001</stp>
        <stp>FQ2 2001</stp>
        <stp>[FA1_ivyerigx.xlsx]Bal Sheet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3"/>
      </tp>
      <tp>
        <v>2.31</v>
        <stp/>
        <stp>##V3_BDHV12</stp>
        <stp>XOM US Equity</stp>
        <stp>IS_BASIC_EPS_CONT_OPS</stp>
        <stp>FQ2 2008</stp>
        <stp>FQ2 2008</stp>
        <stp>[FA1_ivyerigx.xlsx]Per Share!R16C42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6" s="5"/>
      </tp>
      <tp>
        <v>0.4</v>
        <stp/>
        <stp>##V3_BDHV12</stp>
        <stp>XOM US Equity</stp>
        <stp>IS_BASIC_EPS_CONT_OPS</stp>
        <stp>FQ2 2002</stp>
        <stp>FQ2 2002</stp>
        <stp>[FA1_ivyerigx.xlsx]Per Share!R16C18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6" s="5"/>
      </tp>
      <tp>
        <v>1484</v>
        <stp/>
        <stp>##V3_BDHV12</stp>
        <stp>XOM US Equity</stp>
        <stp>IS_INC_BEF_XO_ITEM</stp>
        <stp>FQ3 1998</stp>
        <stp>FQ3 1998</stp>
        <stp>[FA1_ivyerigx.xlsx]Income - Adjusted!R20C3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2"/>
      </tp>
      <tp>
        <v>1530</v>
        <stp/>
        <stp>##V3_BDHV12</stp>
        <stp>XOM US Equity</stp>
        <stp>IS_INC_BEF_XO_ITEM</stp>
        <stp>FQ3 1999</stp>
        <stp>FQ3 1999</stp>
        <stp>[FA1_ivyerigx.xlsx]Income - Adjusted!R20C7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2"/>
      </tp>
      <tp t="s">
        <v>—</v>
        <stp/>
        <stp>##V3_BDHV12</stp>
        <stp>XOM US Equity</stp>
        <stp>IS_SG&amp;A_EXPENSE</stp>
        <stp>FQ4 2006</stp>
        <stp>FQ4 2006</stp>
        <stp>[FA1_ivyerigx.xlsx]Income - Adjusted!R11C36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1" s="2"/>
      </tp>
      <tp>
        <v>3392</v>
        <stp/>
        <stp>##V3_BDHV12</stp>
        <stp>XOM US Equity</stp>
        <stp>IS_SG&amp;A_EXPENSE</stp>
        <stp>FQ1 2007</stp>
        <stp>FQ1 2007</stp>
        <stp>[FA1_ivyerigx.xlsx]Income - Adjusted!R11C37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1" s="2"/>
      </tp>
      <tp>
        <v>2830</v>
        <stp/>
        <stp>##V3_BDHV12</stp>
        <stp>XOM US Equity</stp>
        <stp>IS_SG&amp;A_EXPENSE</stp>
        <stp>FQ2 2000</stp>
        <stp>FQ2 2000</stp>
        <stp>[FA1_ivyerigx.xlsx]Income - Adjusted!R11C10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2"/>
      </tp>
      <tp>
        <v>3246</v>
        <stp/>
        <stp>##V3_BDHV12</stp>
        <stp>XOM US Equity</stp>
        <stp>IS_SG&amp;A_EXPENSE</stp>
        <stp>FQ3 2003</stp>
        <stp>FQ3 2003</stp>
        <stp>[FA1_ivyerigx.xlsx]Income - Adjusted!R11C23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1" s="2"/>
      </tp>
      <tp>
        <v>1.5523</v>
        <stp/>
        <stp>##V3_BDHV12</stp>
        <stp>XOM US Equity</stp>
        <stp>CUR_RATIO</stp>
        <stp>FQ4 2006</stp>
        <stp>FQ4 2006</stp>
        <stp>[FA1_ivyerigx.xlsx]Bal Sheet - Standardized!R63C36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3" s="3"/>
      </tp>
      <tp>
        <v>1.5257000000000001</v>
        <stp/>
        <stp>##V3_BDHV12</stp>
        <stp>XOM US Equity</stp>
        <stp>CUR_RATIO</stp>
        <stp>FQ1 2006</stp>
        <stp>FQ1 2006</stp>
        <stp>[FA1_ivyerigx.xlsx]Bal Sheet - Standardized!R63C33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3" s="3"/>
      </tp>
      <tp>
        <v>1.1749000000000001</v>
        <stp/>
        <stp>##V3_BDHV12</stp>
        <stp>XOM US Equity</stp>
        <stp>CUR_RATIO</stp>
        <stp>FQ1 2002</stp>
        <stp>FQ1 2002</stp>
        <stp>[FA1_ivyerigx.xlsx]Bal Sheet - Standardized!R63C17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3" s="3"/>
      </tp>
      <tp>
        <v>0.20499999999999999</v>
        <stp/>
        <stp>##V3_BDHV12</stp>
        <stp>XOM US Equity</stp>
        <stp>EQY_DPS</stp>
        <stp>FQ4 1999</stp>
        <stp>FQ4 1999</stp>
        <stp>[FA1_ivyerigx.xlsx]Income - Adjusted!R53C8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3" s="2"/>
      </tp>
      <tp t="s">
        <v>—</v>
        <stp/>
        <stp>##V3_BDHV12</stp>
        <stp>XOM US Equity</stp>
        <stp>IS_DEPR_EXP</stp>
        <stp>FQ2 2005</stp>
        <stp>FQ2 2005</stp>
        <stp>[FA1_ivyerigx.xlsx]Income - Adjusted!R56C30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6" s="2"/>
      </tp>
      <tp t="s">
        <v>—</v>
        <stp/>
        <stp>##V3_BDHV12</stp>
        <stp>XOM US Equity</stp>
        <stp>IS_DEPR_EXP</stp>
        <stp>FQ1 2006</stp>
        <stp>FQ1 2006</stp>
        <stp>[FA1_ivyerigx.xlsx]Income - Adjusted!R56C33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6" s="2"/>
      </tp>
      <tp t="s">
        <v>—</v>
        <stp/>
        <stp>##V3_BDHV12</stp>
        <stp>XOM US Equity</stp>
        <stp>IS_DEPR_EXP</stp>
        <stp>FQ4 2001</stp>
        <stp>FQ4 2001</stp>
        <stp>[FA1_ivyerigx.xlsx]Income - Adjusted!R56C16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6" s="2"/>
      </tp>
      <tp t="s">
        <v>—</v>
        <stp/>
        <stp>##V3_BDHV12</stp>
        <stp>XOM US Equity</stp>
        <stp>IS_DEPR_EXP</stp>
        <stp>FQ2 2004</stp>
        <stp>FQ2 2004</stp>
        <stp>[FA1_ivyerigx.xlsx]Income - Adjusted!R56C26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6" s="2"/>
      </tp>
      <tp>
        <v>2075</v>
        <stp/>
        <stp>##V3_BDHV12</stp>
        <stp>XOM US Equity</stp>
        <stp>IS_DEPR_EXP</stp>
        <stp>FQ4 2002</stp>
        <stp>FQ4 2002</stp>
        <stp>[FA1_ivyerigx.xlsx]Income - Adjusted!R56C20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6" s="2"/>
      </tp>
      <tp>
        <v>1830</v>
        <stp/>
        <stp>##V3_BDHV12</stp>
        <stp>XOM US Equity</stp>
        <stp>INC_DEC_IN_OT_OP_AST_LIAB_DETAIL</stp>
        <stp>FQ1 2000</stp>
        <stp>FQ1 2000</stp>
        <stp>[FA1_ivyerigx.xlsx]Cash Flow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4"/>
      </tp>
      <tp>
        <v>9410</v>
        <stp/>
        <stp>##V3_BDHV12</stp>
        <stp>XOM US Equity</stp>
        <stp>EARN_FOR_COMMON</stp>
        <stp>FQ3 2007</stp>
        <stp>FQ3 2007</stp>
        <stp>[FA1_ivyerigx.xlsx]Income - Adjusted!R29C39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29" s="2"/>
      </tp>
      <tp>
        <v>-1948</v>
        <stp/>
        <stp>##V3_BDHV12</stp>
        <stp>XOM US Equity</stp>
        <stp>OTHER_NON_CASH_ADJ_LESS_DETAILED</stp>
        <stp>FQ1 2000</stp>
        <stp>FQ1 2000</stp>
        <stp>[FA1_ivyerigx.xlsx]Cash Flow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4"/>
      </tp>
      <tp>
        <v>130</v>
        <stp/>
        <stp>##V3_BDHV12</stp>
        <stp>XOM US Equity</stp>
        <stp>IS_NET_INTEREST_EXPENSE</stp>
        <stp>FQ1 2008</stp>
        <stp>FQ1 2008</stp>
        <stp>[FA1_ivyerigx.xlsx]Income - Adjusted!R13C41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3" s="2"/>
      </tp>
      <tp>
        <v>0.25</v>
        <stp/>
        <stp>##V3_BDHV12</stp>
        <stp>XOM US Equity</stp>
        <stp>EQY_DPS</stp>
        <stp>FQ1 2004</stp>
        <stp>FQ1 2004</stp>
        <stp>[FA1_ivyerigx.xlsx]Per Share!R20C25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0" s="5"/>
      </tp>
      <tp>
        <v>0.25</v>
        <stp/>
        <stp>##V3_BDHV12</stp>
        <stp>XOM US Equity</stp>
        <stp>EQY_DPS</stp>
        <stp>FQ2 2003</stp>
        <stp>FQ2 2003</stp>
        <stp>[FA1_ivyerigx.xlsx]Per Share!R20C22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0" s="5"/>
      </tp>
      <tp>
        <v>0.22</v>
        <stp/>
        <stp>##V3_BDHV12</stp>
        <stp>XOM US Equity</stp>
        <stp>EQY_DPS</stp>
        <stp>FQ3 2000</stp>
        <stp>FQ3 2000</stp>
        <stp>[FA1_ivyerigx.xlsx]Per Share!R20C11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0" s="5"/>
      </tp>
      <tp t="s">
        <v>—</v>
        <stp/>
        <stp>##V3_BDHV12</stp>
        <stp>XOM US Equity</stp>
        <stp>CF_CHANGE_IN_INVENTORIES</stp>
        <stp>FQ1 2000</stp>
        <stp>FQ1 2000</stp>
        <stp>[FA1_ivyerigx.xlsx]Cash Flow - Standardized!R13C9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3" s="4"/>
      </tp>
      <tp>
        <v>27484</v>
        <stp/>
        <stp>##V3_BDHV12</stp>
        <stp>XOM US Equity</stp>
        <stp>BS_ACCT_NOTE_RCV</stp>
        <stp>FQ4 2005</stp>
        <stp>FQ4 2005</stp>
        <stp>[FA1_ivyerigx.xlsx]Bal Sheet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3"/>
      </tp>
      <tp>
        <v>0</v>
        <stp/>
        <stp>##V3_BDHV12</stp>
        <stp>XOM US Equity</stp>
        <stp>BS_DISCLOSED_INTANGIBLES</stp>
        <stp>FQ3 2007</stp>
        <stp>FQ3 2007</stp>
        <stp>[FA1_ivyerigx.xlsx]Bal Sheet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3"/>
      </tp>
      <tp>
        <v>2.0344000000000002</v>
        <stp/>
        <stp>##V3_BDHV12</stp>
        <stp>XOM US Equity</stp>
        <stp>FREE_CASH_FLOW_PER_SH</stp>
        <stp>FQ3 2007</stp>
        <stp>FQ3 2007</stp>
        <stp>[FA1_ivyerigx.xlsx]Per Share!R23C39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3" s="5"/>
      </tp>
      <tp>
        <v>28942</v>
        <stp/>
        <stp>##V3_BDHV12</stp>
        <stp>XOM US Equity</stp>
        <stp>BS_ACCT_NOTE_RCV</stp>
        <stp>FQ4 2006</stp>
        <stp>FQ4 2006</stp>
        <stp>[FA1_ivyerigx.xlsx]Bal Sheet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3"/>
      </tp>
      <tp>
        <v>0</v>
        <stp/>
        <stp>##V3_BDHV12</stp>
        <stp>XOM US Equity</stp>
        <stp>BS_DISCLOSED_INTANGIBLES</stp>
        <stp>FQ3 2006</stp>
        <stp>FQ3 2006</stp>
        <stp>[FA1_ivyerigx.xlsx]Bal Sheet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3"/>
      </tp>
      <tp>
        <v>0</v>
        <stp/>
        <stp>##V3_BDHV12</stp>
        <stp>XOM US Equity</stp>
        <stp>BS_DISCLOSED_INTANGIBLES</stp>
        <stp>FQ2 2004</stp>
        <stp>FQ2 2004</stp>
        <stp>[FA1_ivyerigx.xlsx]Bal Sheet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3"/>
      </tp>
      <tp>
        <v>0</v>
        <stp/>
        <stp>##V3_BDHV12</stp>
        <stp>XOM US Equity</stp>
        <stp>BS_DISCLOSED_INTANGIBLES</stp>
        <stp>FQ2 2003</stp>
        <stp>FQ2 2003</stp>
        <stp>[FA1_ivyerigx.xlsx]Bal Sheet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3"/>
      </tp>
      <tp t="s">
        <v>—</v>
        <stp/>
        <stp>##V3_BDHV12</stp>
        <stp>XOM US Equity</stp>
        <stp>BS_DISCLOSED_INTANGIBLES</stp>
        <stp>FQ1 2001</stp>
        <stp>FQ1 2001</stp>
        <stp>[FA1_ivyerigx.xlsx]Bal Sheet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3"/>
      </tp>
      <tp>
        <v>0</v>
        <stp/>
        <stp>##V3_BDHV12</stp>
        <stp>XOM US Equity</stp>
        <stp>BS_DISCLOSED_INTANGIBLES</stp>
        <stp>FQ4 2007</stp>
        <stp>FQ4 2007</stp>
        <stp>[FA1_ivyerigx.xlsx]Bal Sheet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3"/>
      </tp>
      <tp>
        <v>0</v>
        <stp/>
        <stp>##V3_BDHV12</stp>
        <stp>XOM US Equity</stp>
        <stp>BS_DISCLOSED_INTANGIBLES</stp>
        <stp>FQ1 2002</stp>
        <stp>FQ1 2002</stp>
        <stp>[FA1_ivyerigx.xlsx]Bal Sheet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3"/>
      </tp>
      <tp>
        <v>0</v>
        <stp/>
        <stp>##V3_BDHV12</stp>
        <stp>XOM US Equity</stp>
        <stp>BS_DISCLOSED_INTANGIBLES</stp>
        <stp>FQ3 2005</stp>
        <stp>FQ3 2005</stp>
        <stp>[FA1_ivyerigx.xlsx]Bal Sheet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3"/>
      </tp>
      <tp>
        <v>2.0499999999999998</v>
        <stp/>
        <stp>##V3_BDHV12</stp>
        <stp>XOM US Equity</stp>
        <stp>IS_BASIC_EPS_CONT_OPS</stp>
        <stp>FQ1 2008</stp>
        <stp>FQ1 2008</stp>
        <stp>[FA1_ivyerigx.xlsx]Per Share!R16C41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6" s="5"/>
      </tp>
      <tp>
        <v>35.584499999999998</v>
        <stp/>
        <stp>##V3_BDHV12</stp>
        <stp>XOM US Equity</stp>
        <stp>GROSS_MARGIN</stp>
        <stp>FQ4 2004</stp>
        <stp>FQ4 2004</stp>
        <stp>[FA1_ivyerigx.xlsx]Income - Adjusted!R49C28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9" s="2"/>
      </tp>
      <tp>
        <v>32.856900000000003</v>
        <stp/>
        <stp>##V3_BDHV12</stp>
        <stp>XOM US Equity</stp>
        <stp>GROSS_MARGIN</stp>
        <stp>FQ4 2005</stp>
        <stp>FQ4 2005</stp>
        <stp>[FA1_ivyerigx.xlsx]Income - Adjusted!R49C32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9" s="2"/>
      </tp>
      <tp>
        <v>21.250399999999999</v>
        <stp/>
        <stp>##V3_BDHV12</stp>
        <stp>XOM US Equity</stp>
        <stp>GROSS_MARGIN</stp>
        <stp>FQ4 2006</stp>
        <stp>FQ4 2006</stp>
        <stp>[FA1_ivyerigx.xlsx]Income - Adjusted!R49C36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9" s="2"/>
      </tp>
      <tp>
        <v>19.3657</v>
        <stp/>
        <stp>##V3_BDHV12</stp>
        <stp>XOM US Equity</stp>
        <stp>GROSS_MARGIN</stp>
        <stp>FQ4 2007</stp>
        <stp>FQ4 2007</stp>
        <stp>[FA1_ivyerigx.xlsx]Income - Adjusted!R49C40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49" s="2"/>
      </tp>
      <tp>
        <v>17.735199999999999</v>
        <stp/>
        <stp>##V3_BDHV12</stp>
        <stp>XOM US Equity</stp>
        <stp>GROSS_MARGIN</stp>
        <stp>FQ4 2001</stp>
        <stp>FQ4 2001</stp>
        <stp>[FA1_ivyerigx.xlsx]Income - Adjusted!R49C16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9" s="2"/>
      </tp>
      <tp>
        <v>30.426400000000001</v>
        <stp/>
        <stp>##V3_BDHV12</stp>
        <stp>XOM US Equity</stp>
        <stp>GROSS_MARGIN</stp>
        <stp>FQ4 2002</stp>
        <stp>FQ4 2002</stp>
        <stp>[FA1_ivyerigx.xlsx]Income - Adjusted!R49C20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9" s="2"/>
      </tp>
      <tp>
        <v>35.567500000000003</v>
        <stp/>
        <stp>##V3_BDHV12</stp>
        <stp>XOM US Equity</stp>
        <stp>GROSS_MARGIN</stp>
        <stp>FQ4 2003</stp>
        <stp>FQ4 2003</stp>
        <stp>[FA1_ivyerigx.xlsx]Income - Adjusted!R49C24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9" s="2"/>
      </tp>
      <tp>
        <v>34.281300000000002</v>
        <stp/>
        <stp>##V3_BDHV12</stp>
        <stp>XOM US Equity</stp>
        <stp>GROSS_MARGIN</stp>
        <stp>FQ4 2000</stp>
        <stp>FQ4 2000</stp>
        <stp>[FA1_ivyerigx.xlsx]Income - Adjusted!R49C12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9" s="2"/>
      </tp>
      <tp>
        <v>18.4879</v>
        <stp/>
        <stp>##V3_BDHV12</stp>
        <stp>XOM US Equity</stp>
        <stp>GROSS_MARGIN</stp>
        <stp>FQ2 2008</stp>
        <stp>FQ2 2008</stp>
        <stp>[FA1_ivyerigx.xlsx]Income - Adjusted!R49C42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49" s="2"/>
      </tp>
      <tp>
        <v>35.3825</v>
        <stp/>
        <stp>##V3_BDHV12</stp>
        <stp>XOM US Equity</stp>
        <stp>GROSS_MARGIN</stp>
        <stp>FQ2 2001</stp>
        <stp>FQ2 2001</stp>
        <stp>[FA1_ivyerigx.xlsx]Income - Adjusted!R49C14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9" s="2"/>
      </tp>
      <tp>
        <v>33.840600000000002</v>
        <stp/>
        <stp>##V3_BDHV12</stp>
        <stp>XOM US Equity</stp>
        <stp>GROSS_MARGIN</stp>
        <stp>FQ2 2000</stp>
        <stp>FQ2 2000</stp>
        <stp>[FA1_ivyerigx.xlsx]Income - Adjusted!R49C10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9" s="2"/>
      </tp>
      <tp>
        <v>36.9099</v>
        <stp/>
        <stp>##V3_BDHV12</stp>
        <stp>XOM US Equity</stp>
        <stp>GROSS_MARGIN</stp>
        <stp>FQ2 2003</stp>
        <stp>FQ2 2003</stp>
        <stp>[FA1_ivyerigx.xlsx]Income - Adjusted!R49C22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9" s="2"/>
      </tp>
      <tp>
        <v>34.890900000000002</v>
        <stp/>
        <stp>##V3_BDHV12</stp>
        <stp>XOM US Equity</stp>
        <stp>GROSS_MARGIN</stp>
        <stp>FQ2 2002</stp>
        <stp>FQ2 2002</stp>
        <stp>[FA1_ivyerigx.xlsx]Income - Adjusted!R49C18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9" s="2"/>
      </tp>
      <tp>
        <v>21.847799999999999</v>
        <stp/>
        <stp>##V3_BDHV12</stp>
        <stp>XOM US Equity</stp>
        <stp>GROSS_MARGIN</stp>
        <stp>FQ2 2007</stp>
        <stp>FQ2 2007</stp>
        <stp>[FA1_ivyerigx.xlsx]Income - Adjusted!R49C38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49" s="2"/>
      </tp>
      <tp>
        <v>21.963699999999999</v>
        <stp/>
        <stp>##V3_BDHV12</stp>
        <stp>XOM US Equity</stp>
        <stp>GROSS_MARGIN</stp>
        <stp>FQ2 2006</stp>
        <stp>FQ2 2006</stp>
        <stp>[FA1_ivyerigx.xlsx]Income - Adjusted!R49C34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9" s="2"/>
      </tp>
      <tp>
        <v>18.933800000000002</v>
        <stp/>
        <stp>##V3_BDHV12</stp>
        <stp>XOM US Equity</stp>
        <stp>GROSS_MARGIN</stp>
        <stp>FQ2 2005</stp>
        <stp>FQ2 2005</stp>
        <stp>[FA1_ivyerigx.xlsx]Income - Adjusted!R49C30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9" s="2"/>
      </tp>
      <tp>
        <v>34.586799999999997</v>
        <stp/>
        <stp>##V3_BDHV12</stp>
        <stp>XOM US Equity</stp>
        <stp>GROSS_MARGIN</stp>
        <stp>FQ2 2004</stp>
        <stp>FQ2 2004</stp>
        <stp>[FA1_ivyerigx.xlsx]Income - Adjusted!R49C26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9" s="2"/>
      </tp>
      <tp>
        <v>34.254600000000003</v>
        <stp/>
        <stp>##V3_BDHV12</stp>
        <stp>XOM US Equity</stp>
        <stp>GROSS_MARGIN</stp>
        <stp>FQ3 2003</stp>
        <stp>FQ3 2003</stp>
        <stp>[FA1_ivyerigx.xlsx]Income - Adjusted!R49C23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9" s="2"/>
      </tp>
      <tp>
        <v>35.074199999999998</v>
        <stp/>
        <stp>##V3_BDHV12</stp>
        <stp>XOM US Equity</stp>
        <stp>GROSS_MARGIN</stp>
        <stp>FQ3 2000</stp>
        <stp>FQ3 2000</stp>
        <stp>[FA1_ivyerigx.xlsx]Income - Adjusted!R49C11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9" s="2"/>
      </tp>
      <tp>
        <v>17.7209</v>
        <stp/>
        <stp>##V3_BDHV12</stp>
        <stp>XOM US Equity</stp>
        <stp>GROSS_MARGIN</stp>
        <stp>FQ3 2001</stp>
        <stp>FQ3 2001</stp>
        <stp>[FA1_ivyerigx.xlsx]Income - Adjusted!R49C15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9" s="2"/>
      </tp>
      <tp>
        <v>32.060200000000002</v>
        <stp/>
        <stp>##V3_BDHV12</stp>
        <stp>XOM US Equity</stp>
        <stp>GROSS_MARGIN</stp>
        <stp>FQ3 2002</stp>
        <stp>FQ3 2002</stp>
        <stp>[FA1_ivyerigx.xlsx]Income - Adjusted!R49C19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9" s="2"/>
      </tp>
      <tp>
        <v>21.682600000000001</v>
        <stp/>
        <stp>##V3_BDHV12</stp>
        <stp>XOM US Equity</stp>
        <stp>GROSS_MARGIN</stp>
        <stp>FQ3 2006</stp>
        <stp>FQ3 2006</stp>
        <stp>[FA1_ivyerigx.xlsx]Income - Adjusted!R49C35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9" s="2"/>
      </tp>
      <tp>
        <v>19.6523</v>
        <stp/>
        <stp>##V3_BDHV12</stp>
        <stp>XOM US Equity</stp>
        <stp>GROSS_MARGIN</stp>
        <stp>FQ3 2007</stp>
        <stp>FQ3 2007</stp>
        <stp>[FA1_ivyerigx.xlsx]Income - Adjusted!R49C39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49" s="2"/>
      </tp>
      <tp>
        <v>18.432700000000001</v>
        <stp/>
        <stp>##V3_BDHV12</stp>
        <stp>XOM US Equity</stp>
        <stp>GROSS_MARGIN</stp>
        <stp>FQ3 2005</stp>
        <stp>FQ3 2005</stp>
        <stp>[FA1_ivyerigx.xlsx]Income - Adjusted!R49C31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9" s="2"/>
      </tp>
      <tp>
        <v>33.343699999999998</v>
        <stp/>
        <stp>##V3_BDHV12</stp>
        <stp>XOM US Equity</stp>
        <stp>GROSS_MARGIN</stp>
        <stp>FQ3 2004</stp>
        <stp>FQ3 2004</stp>
        <stp>[FA1_ivyerigx.xlsx]Income - Adjusted!R49C27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9" s="2"/>
      </tp>
      <tp>
        <v>20.151499999999999</v>
        <stp/>
        <stp>##V3_BDHV12</stp>
        <stp>XOM US Equity</stp>
        <stp>GROSS_MARGIN</stp>
        <stp>FQ1 2008</stp>
        <stp>FQ1 2008</stp>
        <stp>[FA1_ivyerigx.xlsx]Income - Adjusted!R49C41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49" s="2"/>
      </tp>
      <tp>
        <v>37.007899999999999</v>
        <stp/>
        <stp>##V3_BDHV12</stp>
        <stp>XOM US Equity</stp>
        <stp>GROSS_MARGIN</stp>
        <stp>FQ1 2002</stp>
        <stp>FQ1 2002</stp>
        <stp>[FA1_ivyerigx.xlsx]Income - Adjusted!R49C17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9" s="2"/>
      </tp>
      <tp>
        <v>34.507100000000001</v>
        <stp/>
        <stp>##V3_BDHV12</stp>
        <stp>XOM US Equity</stp>
        <stp>GROSS_MARGIN</stp>
        <stp>FQ1 2003</stp>
        <stp>FQ1 2003</stp>
        <stp>[FA1_ivyerigx.xlsx]Income - Adjusted!R49C21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9" s="2"/>
      </tp>
      <tp>
        <v>37.294699999999999</v>
        <stp/>
        <stp>##V3_BDHV12</stp>
        <stp>XOM US Equity</stp>
        <stp>GROSS_MARGIN</stp>
        <stp>FQ1 2001</stp>
        <stp>FQ1 2001</stp>
        <stp>[FA1_ivyerigx.xlsx]Income - Adjusted!R49C13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9" s="2"/>
      </tp>
      <tp>
        <v>19.521899999999999</v>
        <stp/>
        <stp>##V3_BDHV12</stp>
        <stp>XOM US Equity</stp>
        <stp>GROSS_MARGIN</stp>
        <stp>FQ1 2005</stp>
        <stp>FQ1 2005</stp>
        <stp>[FA1_ivyerigx.xlsx]Income - Adjusted!R49C29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9" s="2"/>
      </tp>
      <tp>
        <v>35.549300000000002</v>
        <stp/>
        <stp>##V3_BDHV12</stp>
        <stp>XOM US Equity</stp>
        <stp>GROSS_MARGIN</stp>
        <stp>FQ1 2004</stp>
        <stp>FQ1 2004</stp>
        <stp>[FA1_ivyerigx.xlsx]Income - Adjusted!R49C25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9" s="2"/>
      </tp>
      <tp>
        <v>21.475300000000001</v>
        <stp/>
        <stp>##V3_BDHV12</stp>
        <stp>XOM US Equity</stp>
        <stp>GROSS_MARGIN</stp>
        <stp>FQ1 2006</stp>
        <stp>FQ1 2006</stp>
        <stp>[FA1_ivyerigx.xlsx]Income - Adjusted!R49C33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9" s="2"/>
      </tp>
      <tp>
        <v>22.1511</v>
        <stp/>
        <stp>##V3_BDHV12</stp>
        <stp>XOM US Equity</stp>
        <stp>GROSS_MARGIN</stp>
        <stp>FQ1 2007</stp>
        <stp>FQ1 2007</stp>
        <stp>[FA1_ivyerigx.xlsx]Income - Adjusted!R49C37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49" s="2"/>
      </tp>
      <tp t="s">
        <v>—</v>
        <stp/>
        <stp>##V3_BDHV12</stp>
        <stp>XOM US Equity</stp>
        <stp>EBITA</stp>
        <stp>FQ1 2002</stp>
        <stp>FQ1 2002</stp>
        <stp>[FA1_ivyerigx.xlsx]Income - Adjusted!R47C17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7" s="2"/>
      </tp>
      <tp t="s">
        <v>—</v>
        <stp/>
        <stp>##V3_BDHV12</stp>
        <stp>XOM US Equity</stp>
        <stp>EBITA</stp>
        <stp>FQ1 2006</stp>
        <stp>FQ1 2006</stp>
        <stp>[FA1_ivyerigx.xlsx]Income - Adjusted!R47C33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7" s="2"/>
      </tp>
      <tp t="s">
        <v>—</v>
        <stp/>
        <stp>##V3_BDHV12</stp>
        <stp>XOM US Equity</stp>
        <stp>EBITA</stp>
        <stp>FQ2 2001</stp>
        <stp>FQ2 2001</stp>
        <stp>[FA1_ivyerigx.xlsx]Income - Adjusted!R47C14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7" s="2"/>
      </tp>
      <tp t="s">
        <v>—</v>
        <stp/>
        <stp>##V3_BDHV12</stp>
        <stp>XOM US Equity</stp>
        <stp>EBITA</stp>
        <stp>FQ2 2005</stp>
        <stp>FQ2 2005</stp>
        <stp>[FA1_ivyerigx.xlsx]Income - Adjusted!R47C30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7" s="2"/>
      </tp>
      <tp>
        <v>0.5</v>
        <stp/>
        <stp>##V3_BDHV12</stp>
        <stp>XOM US Equity</stp>
        <stp>IS_EPS</stp>
        <stp>FQ1 2000</stp>
        <stp>FQ1 2000</stp>
        <stp>[FA1_ivyerigx.xlsx]Income - Adjusted!R34C9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34" s="2"/>
      </tp>
      <tp>
        <v>3372</v>
        <stp/>
        <stp>##V3_BDHV12</stp>
        <stp>XOM US Equity</stp>
        <stp>IS_SG&amp;A_EXPENSE</stp>
        <stp>FQ3 2004</stp>
        <stp>FQ3 2004</stp>
        <stp>[FA1_ivyerigx.xlsx]Income - Adjusted!R11C27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1" s="2"/>
      </tp>
      <tp>
        <v>3412</v>
        <stp/>
        <stp>##V3_BDHV12</stp>
        <stp>XOM US Equity</stp>
        <stp>IS_SG&amp;A_EXPENSE</stp>
        <stp>FQ3 2006</stp>
        <stp>FQ3 2006</stp>
        <stp>[FA1_ivyerigx.xlsx]Income - Adjusted!R11C35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1" s="2"/>
      </tp>
      <tp>
        <v>1.4689000000000001</v>
        <stp/>
        <stp>##V3_BDHV12</stp>
        <stp>XOM US Equity</stp>
        <stp>CUR_RATIO</stp>
        <stp>FQ3 2005</stp>
        <stp>FQ3 2005</stp>
        <stp>[FA1_ivyerigx.xlsx]Bal Sheet - Standardized!R63C31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3" s="3"/>
      </tp>
      <tp>
        <v>1.4933000000000001</v>
        <stp/>
        <stp>##V3_BDHV12</stp>
        <stp>XOM US Equity</stp>
        <stp>CUR_RATIO</stp>
        <stp>FQ2 2005</stp>
        <stp>FQ2 2005</stp>
        <stp>[FA1_ivyerigx.xlsx]Bal Sheet - Standardized!R63C30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3" s="3"/>
      </tp>
      <tp>
        <v>1.1667000000000001</v>
        <stp/>
        <stp>##V3_BDHV12</stp>
        <stp>XOM US Equity</stp>
        <stp>CUR_RATIO</stp>
        <stp>FQ3 2001</stp>
        <stp>FQ3 2001</stp>
        <stp>[FA1_ivyerigx.xlsx]Bal Sheet - Standardized!R63C15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3" s="3"/>
      </tp>
      <tp>
        <v>1.1602999999999999</v>
        <stp/>
        <stp>##V3_BDHV12</stp>
        <stp>XOM US Equity</stp>
        <stp>CUR_RATIO</stp>
        <stp>FQ2 2001</stp>
        <stp>FQ2 2001</stp>
        <stp>[FA1_ivyerigx.xlsx]Bal Sheet - Standardized!R63C14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3" s="3"/>
      </tp>
      <tp>
        <v>3155</v>
        <stp/>
        <stp>##V3_BDHV12</stp>
        <stp>XOM US Equity</stp>
        <stp>IS_DEPR_EXP</stp>
        <stp>FQ4 2007</stp>
        <stp>FQ4 2007</stp>
        <stp>[FA1_ivyerigx.xlsx]Income - Adjusted!R56C40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6" s="2"/>
      </tp>
      <tp t="s">
        <v>—</v>
        <stp/>
        <stp>##V3_BDHV12</stp>
        <stp>XOM US Equity</stp>
        <stp>IS_DEPR_EXP</stp>
        <stp>FQ1 2004</stp>
        <stp>FQ1 2004</stp>
        <stp>[FA1_ivyerigx.xlsx]Income - Adjusted!R56C25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6" s="2"/>
      </tp>
      <tp>
        <v>2760</v>
        <stp/>
        <stp>##V3_BDHV12</stp>
        <stp>XOM US Equity</stp>
        <stp>IS_DEPR_EXP</stp>
        <stp>FQ2 2006</stp>
        <stp>FQ2 2006</stp>
        <stp>[FA1_ivyerigx.xlsx]Income - Adjusted!R56C34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6" s="2"/>
      </tp>
      <tp>
        <v>3159</v>
        <stp/>
        <stp>##V3_BDHV12</stp>
        <stp>XOM US Equity</stp>
        <stp>IS_DEPR_EXP</stp>
        <stp>FQ3 2007</stp>
        <stp>FQ3 2007</stp>
        <stp>[FA1_ivyerigx.xlsx]Income - Adjusted!R56C39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6" s="2"/>
      </tp>
      <tp>
        <v>51</v>
        <stp/>
        <stp>##V3_BDHV12</stp>
        <stp>XOM US Equity</stp>
        <stp>IS_NET_INTEREST_EXPENSE</stp>
        <stp>FQ2 2002</stp>
        <stp>FQ2 2002</stp>
        <stp>[FA1_ivyerigx.xlsx]Income - Adjusted!R13C18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3" s="2"/>
      </tp>
      <tp>
        <v>107</v>
        <stp/>
        <stp>##V3_BDHV12</stp>
        <stp>XOM US Equity</stp>
        <stp>IS_NET_INTEREST_EXPENSE</stp>
        <stp>FQ2 2008</stp>
        <stp>FQ2 2008</stp>
        <stp>[FA1_ivyerigx.xlsx]Income - Adjusted!R13C42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3" s="2"/>
      </tp>
      <tp>
        <v>0.315</v>
        <stp/>
        <stp>##V3_BDHV12</stp>
        <stp>XOM US Equity</stp>
        <stp>IS_EARN_BEF_XO_ITEMS_PER_SH</stp>
        <stp>FQ4 1998</stp>
        <stp>FQ4 1998</stp>
        <stp>[FA1_ivyerigx.xlsx]Per Share!R15C4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5" s="5"/>
      </tp>
      <tp>
        <v>0.28999999999999998</v>
        <stp/>
        <stp>##V3_BDHV12</stp>
        <stp>XOM US Equity</stp>
        <stp>IS_EARN_BEF_XO_ITEMS_PER_SH</stp>
        <stp>FQ3 1998</stp>
        <stp>FQ3 1998</stp>
        <stp>[FA1_ivyerigx.xlsx]Per Share!R15C3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5" s="5"/>
      </tp>
      <tp>
        <v>5470</v>
        <stp/>
        <stp>##V3_BDHV12</stp>
        <stp>XOM US Equity</stp>
        <stp>IS_AVG_NUM_SH_FOR_EPS</stp>
        <stp>FQ3 2007</stp>
        <stp>FQ3 2007</stp>
        <stp>[FA1_ivyerigx.xlsx]Income - Adjusted!R33C39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3" s="2"/>
      </tp>
      <tp>
        <v>0.23</v>
        <stp/>
        <stp>##V3_BDHV12</stp>
        <stp>XOM US Equity</stp>
        <stp>EQY_DPS</stp>
        <stp>FQ4 2002</stp>
        <stp>FQ4 2002</stp>
        <stp>[FA1_ivyerigx.xlsx]Per Share!R20C20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0" s="5"/>
      </tp>
      <tp>
        <v>0.22</v>
        <stp/>
        <stp>##V3_BDHV12</stp>
        <stp>XOM US Equity</stp>
        <stp>EQY_DPS</stp>
        <stp>FQ4 2000</stp>
        <stp>FQ4 2000</stp>
        <stp>[FA1_ivyerigx.xlsx]Per Share!R20C12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0" s="5"/>
      </tp>
      <tp>
        <v>0.23</v>
        <stp/>
        <stp>##V3_BDHV12</stp>
        <stp>XOM US Equity</stp>
        <stp>EQY_DPS</stp>
        <stp>FQ1 2003</stp>
        <stp>FQ1 2003</stp>
        <stp>[FA1_ivyerigx.xlsx]Per Share!R20C21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0" s="5"/>
      </tp>
      <tp>
        <v>0.22</v>
        <stp/>
        <stp>##V3_BDHV12</stp>
        <stp>XOM US Equity</stp>
        <stp>EQY_DPS</stp>
        <stp>FQ1 2001</stp>
        <stp>FQ1 2001</stp>
        <stp>[FA1_ivyerigx.xlsx]Per Share!R20C13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0" s="5"/>
      </tp>
      <tp>
        <v>0.27</v>
        <stp/>
        <stp>##V3_BDHV12</stp>
        <stp>XOM US Equity</stp>
        <stp>EQY_DPS</stp>
        <stp>FQ2 2004</stp>
        <stp>FQ2 2004</stp>
        <stp>[FA1_ivyerigx.xlsx]Per Share!R20C26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0" s="5"/>
      </tp>
      <tp>
        <v>0.32</v>
        <stp/>
        <stp>##V3_BDHV12</stp>
        <stp>XOM US Equity</stp>
        <stp>EQY_DPS</stp>
        <stp>FQ2 2006</stp>
        <stp>FQ2 2006</stp>
        <stp>[FA1_ivyerigx.xlsx]Per Share!R20C34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0" s="5"/>
      </tp>
      <tp>
        <v>2825</v>
        <stp/>
        <stp>##V3_BDHV12</stp>
        <stp>XOM US Equity</stp>
        <stp>BS_NUM_OF_TSY_SH</stp>
        <stp>FQ2 2008</stp>
        <stp>FQ2 2008</stp>
        <stp>[FA1_ivyerigx.xlsx]Bal Sheet - Standardized!R54C42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4" s="3"/>
      </tp>
      <tp>
        <v>2736</v>
        <stp/>
        <stp>##V3_BDHV12</stp>
        <stp>XOM US Equity</stp>
        <stp>BS_NUM_OF_TSY_SH</stp>
        <stp>FQ1 2008</stp>
        <stp>FQ1 2008</stp>
        <stp>[FA1_ivyerigx.xlsx]Bal Sheet - Standardized!R54C41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4" s="3"/>
      </tp>
      <tp>
        <v>2877</v>
        <stp/>
        <stp>##V3_BDHV12</stp>
        <stp>XOM US Equity</stp>
        <stp>IS_SG&amp;A_EXPENSE</stp>
        <stp>FQ1 2000</stp>
        <stp>FQ1 2000</stp>
        <stp>[FA1_ivyerigx.xlsx]Income - Adjusted!R11C9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2"/>
      </tp>
      <tp>
        <v>1618</v>
        <stp/>
        <stp>##V3_BDHV12</stp>
        <stp>XOM US Equity</stp>
        <stp>BS_NUM_OF_TSY_SH</stp>
        <stp>FQ4 2004</stp>
        <stp>FQ4 2004</stp>
        <stp>[FA1_ivyerigx.xlsx]Bal Sheet - Standardized!R54C28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4" s="3"/>
      </tp>
      <tp>
        <v>1262</v>
        <stp/>
        <stp>##V3_BDHV12</stp>
        <stp>XOM US Equity</stp>
        <stp>BS_NUM_OF_TSY_SH</stp>
        <stp>FQ2 2002</stp>
        <stp>FQ2 2002</stp>
        <stp>[FA1_ivyerigx.xlsx]Bal Sheet - Standardized!R54C18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4" s="3"/>
      </tp>
      <tp>
        <v>1290</v>
        <stp/>
        <stp>##V3_BDHV12</stp>
        <stp>XOM US Equity</stp>
        <stp>BS_NUM_OF_TSY_SH</stp>
        <stp>FQ3 2002</stp>
        <stp>FQ3 2002</stp>
        <stp>[FA1_ivyerigx.xlsx]Bal Sheet - Standardized!R54C19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4" s="3"/>
      </tp>
      <tp>
        <v>24309</v>
        <stp/>
        <stp>##V3_BDHV12</stp>
        <stp>XOM US Equity</stp>
        <stp>BS_ACCT_NOTE_RCV</stp>
        <stp>FQ4 2003</stp>
        <stp>FQ4 2003</stp>
        <stp>[FA1_ivyerigx.xlsx]Bal Sheet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3"/>
      </tp>
      <tp>
        <v>21163</v>
        <stp/>
        <stp>##V3_BDHV12</stp>
        <stp>XOM US Equity</stp>
        <stp>BS_ACCT_NOTE_RCV</stp>
        <stp>FQ4 2002</stp>
        <stp>FQ4 2002</stp>
        <stp>[FA1_ivyerigx.xlsx]Bal Sheet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3"/>
      </tp>
      <tp>
        <v>0</v>
        <stp/>
        <stp>##V3_BDHV12</stp>
        <stp>XOM US Equity</stp>
        <stp>BS_DISCLOSED_INTANGIBLES</stp>
        <stp>FQ2 2007</stp>
        <stp>FQ2 2007</stp>
        <stp>[FA1_ivyerigx.xlsx]Bal Sheet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3"/>
      </tp>
      <tp>
        <v>1.3559000000000001</v>
        <stp/>
        <stp>##V3_BDHV12</stp>
        <stp>XOM US Equity</stp>
        <stp>FREE_CASH_FLOW_PER_SH</stp>
        <stp>FQ2 2007</stp>
        <stp>FQ2 2007</stp>
        <stp>[FA1_ivyerigx.xlsx]Per Share!R23C38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3" s="5"/>
      </tp>
      <tp>
        <v>0</v>
        <stp/>
        <stp>##V3_BDHV12</stp>
        <stp>XOM US Equity</stp>
        <stp>BS_DISCLOSED_INTANGIBLES</stp>
        <stp>FQ2 2006</stp>
        <stp>FQ2 2006</stp>
        <stp>[FA1_ivyerigx.xlsx]Bal Sheet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3"/>
      </tp>
      <tp>
        <v>0</v>
        <stp/>
        <stp>##V3_BDHV12</stp>
        <stp>XOM US Equity</stp>
        <stp>BS_DISCLOSED_INTANGIBLES</stp>
        <stp>FQ3 2004</stp>
        <stp>FQ3 2004</stp>
        <stp>[FA1_ivyerigx.xlsx]Bal Sheet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3"/>
      </tp>
      <tp>
        <v>25359</v>
        <stp/>
        <stp>##V3_BDHV12</stp>
        <stp>XOM US Equity</stp>
        <stp>BS_ACCT_NOTE_RCV</stp>
        <stp>FQ4 2004</stp>
        <stp>FQ4 2004</stp>
        <stp>[FA1_ivyerigx.xlsx]Bal Sheet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3"/>
      </tp>
      <tp>
        <v>41820</v>
        <stp/>
        <stp>##V3_BDHV12</stp>
        <stp>XOM US Equity</stp>
        <stp>BS_ACCT_NOTE_RCV</stp>
        <stp>FQ2 2008</stp>
        <stp>FQ2 2008</stp>
        <stp>[FA1_ivyerigx.xlsx]Bal Sheet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3"/>
      </tp>
      <tp>
        <v>0</v>
        <stp/>
        <stp>##V3_BDHV12</stp>
        <stp>XOM US Equity</stp>
        <stp>BS_DISCLOSED_INTANGIBLES</stp>
        <stp>FQ3 2003</stp>
        <stp>FQ3 2003</stp>
        <stp>[FA1_ivyerigx.xlsx]Bal Sheet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3"/>
      </tp>
      <tp>
        <v>0</v>
        <stp/>
        <stp>##V3_BDHV12</stp>
        <stp>XOM US Equity</stp>
        <stp>BS_DISCLOSED_INTANGIBLES</stp>
        <stp>FQ2 2005</stp>
        <stp>FQ2 2005</stp>
        <stp>[FA1_ivyerigx.xlsx]Bal Sheet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3"/>
      </tp>
      <tp>
        <v>6954</v>
        <stp/>
        <stp>##V3_BDHV12</stp>
        <stp>XOM US Equity</stp>
        <stp>BS_SH_OUT</stp>
        <stp>FQ4 1999</stp>
        <stp>FQ4 1999</stp>
        <stp>[FA1_ivyerigx.xlsx]Per Share!R6C8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5"/>
      </tp>
      <tp>
        <v>3097</v>
        <stp/>
        <stp>##V3_BDHV12</stp>
        <stp>XOM US Equity</stp>
        <stp>IS_INC_BEF_XO_ITEM</stp>
        <stp>FQ1 2000</stp>
        <stp>FQ1 2000</stp>
        <stp>[FA1_ivyerigx.xlsx]Income - Adjusted!R20C9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2"/>
      </tp>
      <tp t="s">
        <v>—</v>
        <stp/>
        <stp>##V3_BDHV12</stp>
        <stp>XOM US Equity</stp>
        <stp>EBITA</stp>
        <stp>FQ3 2001</stp>
        <stp>FQ3 2001</stp>
        <stp>[FA1_ivyerigx.xlsx]Income - Adjusted!R47C15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7" s="2"/>
      </tp>
      <tp t="s">
        <v>—</v>
        <stp/>
        <stp>##V3_BDHV12</stp>
        <stp>XOM US Equity</stp>
        <stp>EBITA</stp>
        <stp>FQ3 2005</stp>
        <stp>FQ3 2005</stp>
        <stp>[FA1_ivyerigx.xlsx]Income - Adjusted!R47C31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7" s="2"/>
      </tp>
      <tp>
        <v>953</v>
        <stp/>
        <stp>##V3_BDHV12</stp>
        <stp>XOM US Equity</stp>
        <stp>IS_INC_BEF_XO_ITEM</stp>
        <stp>FQ1 1999</stp>
        <stp>FQ1 1999</stp>
        <stp>[FA1_ivyerigx.xlsx]Income - Adjusted!R20C5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2"/>
      </tp>
      <tp t="s">
        <v>—</v>
        <stp/>
        <stp>##V3_BDHV12</stp>
        <stp>XOM US Equity</stp>
        <stp>IS_SG&amp;A_EXPENSE</stp>
        <stp>FQ4 2000</stp>
        <stp>FQ4 2000</stp>
        <stp>[FA1_ivyerigx.xlsx]Income - Adjusted!R11C12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2"/>
      </tp>
      <tp t="s">
        <v>—</v>
        <stp/>
        <stp>##V3_BDHV12</stp>
        <stp>XOM US Equity</stp>
        <stp>IS_SG&amp;A_EXPENSE</stp>
        <stp>FQ4 2002</stp>
        <stp>FQ4 2002</stp>
        <stp>[FA1_ivyerigx.xlsx]Income - Adjusted!R11C20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1" s="2"/>
      </tp>
      <tp t="s">
        <v>—</v>
        <stp/>
        <stp>##V3_BDHV12</stp>
        <stp>XOM US Equity</stp>
        <stp>IS_SG&amp;A_EXPENSE</stp>
        <stp>FQ1 2001</stp>
        <stp>FQ1 2001</stp>
        <stp>[FA1_ivyerigx.xlsx]Income - Adjusted!R11C13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1" s="2"/>
      </tp>
      <tp>
        <v>3102</v>
        <stp/>
        <stp>##V3_BDHV12</stp>
        <stp>XOM US Equity</stp>
        <stp>IS_SG&amp;A_EXPENSE</stp>
        <stp>FQ1 2003</stp>
        <stp>FQ1 2003</stp>
        <stp>[FA1_ivyerigx.xlsx]Income - Adjusted!R11C21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1" s="2"/>
      </tp>
      <tp>
        <v>3332</v>
        <stp/>
        <stp>##V3_BDHV12</stp>
        <stp>XOM US Equity</stp>
        <stp>IS_SG&amp;A_EXPENSE</stp>
        <stp>FQ2 2004</stp>
        <stp>FQ2 2004</stp>
        <stp>[FA1_ivyerigx.xlsx]Income - Adjusted!R11C26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1" s="2"/>
      </tp>
      <tp>
        <v>3557</v>
        <stp/>
        <stp>##V3_BDHV12</stp>
        <stp>XOM US Equity</stp>
        <stp>IS_SG&amp;A_EXPENSE</stp>
        <stp>FQ2 2006</stp>
        <stp>FQ2 2006</stp>
        <stp>[FA1_ivyerigx.xlsx]Income - Adjusted!R11C34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1" s="2"/>
      </tp>
      <tp>
        <v>2999</v>
        <stp/>
        <stp>##V3_BDHV12</stp>
        <stp>XOM US Equity</stp>
        <stp>EBITDA</stp>
        <stp>FQ3 1998</stp>
        <stp>FQ3 1998</stp>
        <stp>[FA1_ivyerigx.xlsx]Cash Flow - Standardized!R42C3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42" s="4"/>
      </tp>
      <tp t="s">
        <v>—</v>
        <stp/>
        <stp>##V3_BDHV12</stp>
        <stp>XOM US Equity</stp>
        <stp>EBITDA</stp>
        <stp>FQ4 1998</stp>
        <stp>FQ4 1998</stp>
        <stp>[FA1_ivyerigx.xlsx]Cash Flow - Standardized!R42C4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42" s="4"/>
      </tp>
      <tp>
        <v>1.0578000000000001</v>
        <stp/>
        <stp>##V3_BDHV12</stp>
        <stp>XOM US Equity</stp>
        <stp>CUR_RATIO</stp>
        <stp>FQ4 2000</stp>
        <stp>FQ4 2000</stp>
        <stp>[FA1_ivyerigx.xlsx]Bal Sheet - Standardized!R63C12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3" s="3"/>
      </tp>
      <tp>
        <v>1.1541999999999999</v>
        <stp/>
        <stp>##V3_BDHV12</stp>
        <stp>XOM US Equity</stp>
        <stp>CUR_RATIO</stp>
        <stp>FQ4 2002</stp>
        <stp>FQ4 2002</stp>
        <stp>[FA1_ivyerigx.xlsx]Bal Sheet - Standardized!R63C20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3" s="3"/>
      </tp>
      <tp>
        <v>2730</v>
        <stp/>
        <stp>##V3_BDHV12</stp>
        <stp>XOM US Equity</stp>
        <stp>IS_DEPR_EXP</stp>
        <stp>FQ3 2006</stp>
        <stp>FQ3 2006</stp>
        <stp>[FA1_ivyerigx.xlsx]Income - Adjusted!R56C35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6" s="2"/>
      </tp>
      <tp t="s">
        <v>—</v>
        <stp/>
        <stp>##V3_BDHV12</stp>
        <stp>XOM US Equity</stp>
        <stp>IS_DEPR_EXP</stp>
        <stp>FQ1 2005</stp>
        <stp>FQ1 2005</stp>
        <stp>[FA1_ivyerigx.xlsx]Income - Adjusted!R56C29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6" s="2"/>
      </tp>
      <tp>
        <v>2994</v>
        <stp/>
        <stp>##V3_BDHV12</stp>
        <stp>XOM US Equity</stp>
        <stp>IS_DEPR_EXP</stp>
        <stp>FQ2 2007</stp>
        <stp>FQ2 2007</stp>
        <stp>[FA1_ivyerigx.xlsx]Income - Adjusted!R56C38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6" s="2"/>
      </tp>
      <tp>
        <v>7860</v>
        <stp/>
        <stp>##V3_BDHV12</stp>
        <stp>XOM US Equity</stp>
        <stp>EARN_FOR_COMMON</stp>
        <stp>FQ1 2005</stp>
        <stp>FQ1 2005</stp>
        <stp>[FA1_ivyerigx.xlsx]Income - Adjusted!R29C29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29" s="2"/>
      </tp>
      <tp>
        <v>8420</v>
        <stp/>
        <stp>##V3_BDHV12</stp>
        <stp>XOM US Equity</stp>
        <stp>EARN_FOR_COMMON</stp>
        <stp>FQ4 2004</stp>
        <stp>FQ4 2004</stp>
        <stp>[FA1_ivyerigx.xlsx]Income - Adjusted!R29C28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29" s="2"/>
      </tp>
      <tp>
        <v>51</v>
        <stp/>
        <stp>##V3_BDHV12</stp>
        <stp>XOM US Equity</stp>
        <stp>IS_NET_INTEREST_EXPENSE</stp>
        <stp>FQ3 2002</stp>
        <stp>FQ3 2002</stp>
        <stp>[FA1_ivyerigx.xlsx]Income - Adjusted!R13C19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3" s="2"/>
      </tp>
      <tp>
        <v>5555</v>
        <stp/>
        <stp>##V3_BDHV12</stp>
        <stp>XOM US Equity</stp>
        <stp>IS_AVG_NUM_SH_FOR_EPS</stp>
        <stp>FQ2 2007</stp>
        <stp>FQ2 2007</stp>
        <stp>[FA1_ivyerigx.xlsx]Income - Adjusted!R33C38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3" s="2"/>
      </tp>
      <tp>
        <v>-17.334800000000001</v>
        <stp/>
        <stp>##V3_BDHV12</stp>
        <stp>XOM US Equity</stp>
        <stp>NET_DEBT_TO_SHRHLDR_EQTY</stp>
        <stp>FQ2 2007</stp>
        <stp>FQ2 2007</stp>
        <stp>[FA1_ivyerigx.xlsx]Bal Sheet - Standardized!R61C38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1" s="3"/>
      </tp>
      <tp>
        <v>-19.073699999999999</v>
        <stp/>
        <stp>##V3_BDHV12</stp>
        <stp>XOM US Equity</stp>
        <stp>NET_DEBT_TO_SHRHLDR_EQTY</stp>
        <stp>FQ3 2007</stp>
        <stp>FQ3 2007</stp>
        <stp>[FA1_ivyerigx.xlsx]Bal Sheet - Standardized!R61C39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1" s="3"/>
      </tp>
      <tp>
        <v>0.27</v>
        <stp/>
        <stp>##V3_BDHV12</stp>
        <stp>XOM US Equity</stp>
        <stp>EQY_DPS</stp>
        <stp>FQ3 2004</stp>
        <stp>FQ3 2004</stp>
        <stp>[FA1_ivyerigx.xlsx]Per Share!R20C27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0" s="5"/>
      </tp>
      <tp>
        <v>0.32</v>
        <stp/>
        <stp>##V3_BDHV12</stp>
        <stp>XOM US Equity</stp>
        <stp>EQY_DPS</stp>
        <stp>FQ3 2006</stp>
        <stp>FQ3 2006</stp>
        <stp>[FA1_ivyerigx.xlsx]Per Share!R20C35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0" s="5"/>
      </tp>
      <tp>
        <v>-16.240400000000001</v>
        <stp/>
        <stp>##V3_BDHV12</stp>
        <stp>XOM US Equity</stp>
        <stp>NET_DEBT_TO_SHRHLDR_EQTY</stp>
        <stp>FQ1 2005</stp>
        <stp>FQ1 2005</stp>
        <stp>[FA1_ivyerigx.xlsx]Bal Sheet - Standardized!R61C29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1" s="3"/>
      </tp>
      <tp>
        <v>20248</v>
        <stp/>
        <stp>##V3_BDHV12</stp>
        <stp>XOM US Equity</stp>
        <stp>BS_ACCT_NOTE_RCV</stp>
        <stp>FQ3 2003</stp>
        <stp>FQ3 2003</stp>
        <stp>[FA1_ivyerigx.xlsx]Bal Sheet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3"/>
      </tp>
      <tp>
        <v>0</v>
        <stp/>
        <stp>##V3_BDHV12</stp>
        <stp>XOM US Equity</stp>
        <stp>BS_DISCLOSED_INTANGIBLES</stp>
        <stp>FQ4 2004</stp>
        <stp>FQ4 2004</stp>
        <stp>[FA1_ivyerigx.xlsx]Bal Sheet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3"/>
      </tp>
      <tp>
        <v>0</v>
        <stp/>
        <stp>##V3_BDHV12</stp>
        <stp>XOM US Equity</stp>
        <stp>BS_DISCLOSED_INTANGIBLES</stp>
        <stp>FQ2 2008</stp>
        <stp>FQ2 2008</stp>
        <stp>[FA1_ivyerigx.xlsx]Bal Sheet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3"/>
      </tp>
      <tp>
        <v>28607</v>
        <stp/>
        <stp>##V3_BDHV12</stp>
        <stp>XOM US Equity</stp>
        <stp>BS_ACCT_NOTE_RCV</stp>
        <stp>FQ2 2006</stp>
        <stp>FQ2 2006</stp>
        <stp>[FA1_ivyerigx.xlsx]Bal Sheet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3"/>
      </tp>
      <tp>
        <v>24506</v>
        <stp/>
        <stp>##V3_BDHV12</stp>
        <stp>XOM US Equity</stp>
        <stp>BS_ACCT_NOTE_RCV</stp>
        <stp>FQ3 2004</stp>
        <stp>FQ3 2004</stp>
        <stp>[FA1_ivyerigx.xlsx]Bal Sheet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3"/>
      </tp>
      <tp>
        <v>25716</v>
        <stp/>
        <stp>##V3_BDHV12</stp>
        <stp>XOM US Equity</stp>
        <stp>BS_ACCT_NOTE_RCV</stp>
        <stp>FQ2 2005</stp>
        <stp>FQ2 2005</stp>
        <stp>[FA1_ivyerigx.xlsx]Bal Sheet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3"/>
      </tp>
      <tp>
        <v>0</v>
        <stp/>
        <stp>##V3_BDHV12</stp>
        <stp>XOM US Equity</stp>
        <stp>BS_DISCLOSED_INTANGIBLES</stp>
        <stp>FQ4 2003</stp>
        <stp>FQ4 2003</stp>
        <stp>[FA1_ivyerigx.xlsx]Bal Sheet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3"/>
      </tp>
      <tp>
        <v>30315</v>
        <stp/>
        <stp>##V3_BDHV12</stp>
        <stp>XOM US Equity</stp>
        <stp>BS_ACCT_NOTE_RCV</stp>
        <stp>FQ2 2007</stp>
        <stp>FQ2 2007</stp>
        <stp>[FA1_ivyerigx.xlsx]Bal Sheet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3"/>
      </tp>
      <tp>
        <v>0</v>
        <stp/>
        <stp>##V3_BDHV12</stp>
        <stp>XOM US Equity</stp>
        <stp>BS_DISCLOSED_INTANGIBLES</stp>
        <stp>FQ4 2002</stp>
        <stp>FQ4 2002</stp>
        <stp>[FA1_ivyerigx.xlsx]Bal Sheet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3"/>
      </tp>
      <tp>
        <v>64.37</v>
        <stp/>
        <stp>##V3_BDHV12</stp>
        <stp>XOM US Equity</stp>
        <stp>PX_HIGH</stp>
        <stp>FQ1 2005</stp>
        <stp>FQ1 2005</stp>
        <stp>[FA1_ivyerigx.xlsx]Stock Value!R9C29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9" s="6"/>
      </tp>
      <tp>
        <v>93.66</v>
        <stp/>
        <stp>##V3_BDHV12</stp>
        <stp>XOM US Equity</stp>
        <stp>PX_HIGH</stp>
        <stp>FQ3 2007</stp>
        <stp>FQ3 2007</stp>
        <stp>[FA1_ivyerigx.xlsx]Stock Value!R9C39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9" s="6"/>
      </tp>
      <tp>
        <v>41.1</v>
        <stp/>
        <stp>##V3_BDHV12</stp>
        <stp>XOM US Equity</stp>
        <stp>PX_HIGH</stp>
        <stp>FQ3 2002</stp>
        <stp>FQ3 2002</stp>
        <stp>[FA1_ivyerigx.xlsx]Stock Value!R9C19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9" s="6"/>
      </tp>
      <tp>
        <v>1.85</v>
        <stp/>
        <stp>##V3_BDHV12</stp>
        <stp>XOM US Equity</stp>
        <stp>IS_BASIC_EPS_CONT_OPS</stp>
        <stp>FQ2 2007</stp>
        <stp>FQ2 2007</stp>
        <stp>[FA1_ivyerigx.xlsx]Per Share!R16C38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6" s="5"/>
      </tp>
      <tp t="s">
        <v>—</v>
        <stp/>
        <stp>##V3_BDHV12</stp>
        <stp>XOM US Equity</stp>
        <stp>EBITA</stp>
        <stp>FQ3 2004</stp>
        <stp>FQ3 2004</stp>
        <stp>[FA1_ivyerigx.xlsx]Income - Adjusted!R47C27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7" s="2"/>
      </tp>
      <tp>
        <v>15426</v>
        <stp/>
        <stp>##V3_BDHV12</stp>
        <stp>XOM US Equity</stp>
        <stp>EBITA</stp>
        <stp>FQ3 2006</stp>
        <stp>FQ3 2006</stp>
        <stp>[FA1_ivyerigx.xlsx]Income - Adjusted!R47C35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7" s="2"/>
      </tp>
      <tp>
        <v>3466</v>
        <stp/>
        <stp>##V3_BDHV12</stp>
        <stp>XOM US Equity</stp>
        <stp>IS_SG&amp;A_EXPENSE</stp>
        <stp>FQ1 2006</stp>
        <stp>FQ1 2006</stp>
        <stp>[FA1_ivyerigx.xlsx]Income - Adjusted!R11C33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1" s="2"/>
      </tp>
      <tp>
        <v>3138</v>
        <stp/>
        <stp>##V3_BDHV12</stp>
        <stp>XOM US Equity</stp>
        <stp>IS_SG&amp;A_EXPENSE</stp>
        <stp>FQ1 2002</stp>
        <stp>FQ1 2002</stp>
        <stp>[FA1_ivyerigx.xlsx]Income - Adjusted!R11C17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1" s="2"/>
      </tp>
      <tp>
        <v>3508</v>
        <stp/>
        <stp>##V3_BDHV12</stp>
        <stp>XOM US Equity</stp>
        <stp>IS_SG&amp;A_EXPENSE</stp>
        <stp>FQ2 2005</stp>
        <stp>FQ2 2005</stp>
        <stp>[FA1_ivyerigx.xlsx]Income - Adjusted!R11C30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1" s="2"/>
      </tp>
      <tp>
        <v>3215</v>
        <stp/>
        <stp>##V3_BDHV12</stp>
        <stp>XOM US Equity</stp>
        <stp>IS_SG&amp;A_EXPENSE</stp>
        <stp>FQ2 2001</stp>
        <stp>FQ2 2001</stp>
        <stp>[FA1_ivyerigx.xlsx]Income - Adjusted!R11C14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1" s="2"/>
      </tp>
      <tp>
        <v>1.5430999999999999</v>
        <stp/>
        <stp>##V3_BDHV12</stp>
        <stp>XOM US Equity</stp>
        <stp>CUR_RATIO</stp>
        <stp>FQ1 2007</stp>
        <stp>FQ1 2007</stp>
        <stp>[FA1_ivyerigx.xlsx]Bal Sheet - Standardized!R63C37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3" s="3"/>
      </tp>
      <tp>
        <v>3282</v>
        <stp/>
        <stp>##V3_BDHV12</stp>
        <stp>XOM US Equity</stp>
        <stp>IS_DEPR_EXP</stp>
        <stp>FQ4 2006</stp>
        <stp>FQ4 2006</stp>
        <stp>[FA1_ivyerigx.xlsx]Income - Adjusted!R56C36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6" s="2"/>
      </tp>
      <tp t="s">
        <v>—</v>
        <stp/>
        <stp>##V3_BDHV12</stp>
        <stp>XOM US Equity</stp>
        <stp>IS_DEPR_EXP</stp>
        <stp>FQ1 2001</stp>
        <stp>FQ1 2001</stp>
        <stp>[FA1_ivyerigx.xlsx]Income - Adjusted!R56C13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6" s="2"/>
      </tp>
      <tp t="s">
        <v>—</v>
        <stp/>
        <stp>##V3_BDHV12</stp>
        <stp>XOM US Equity</stp>
        <stp>IS_DEPR_EXP</stp>
        <stp>FQ2 2002</stp>
        <stp>FQ2 2002</stp>
        <stp>[FA1_ivyerigx.xlsx]Income - Adjusted!R56C18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6" s="2"/>
      </tp>
      <tp>
        <v>2640</v>
        <stp/>
        <stp>##V3_BDHV12</stp>
        <stp>XOM US Equity</stp>
        <stp>EARN_FOR_COMMON</stp>
        <stp>FQ3 2002</stp>
        <stp>FQ3 2002</stp>
        <stp>[FA1_ivyerigx.xlsx]Income - Adjusted!R29C19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29" s="2"/>
      </tp>
      <tp>
        <v>56</v>
        <stp/>
        <stp>##V3_BDHV12</stp>
        <stp>XOM US Equity</stp>
        <stp>IS_NET_INTEREST_EXPENSE</stp>
        <stp>FQ1 2005</stp>
        <stp>FQ1 2005</stp>
        <stp>[FA1_ivyerigx.xlsx]Income - Adjusted!R13C29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3" s="2"/>
      </tp>
      <tp t="s">
        <v>—</v>
        <stp/>
        <stp>##V3_BDHV12</stp>
        <stp>XOM US Equity</stp>
        <stp>IS_NET_INTEREST_EXPENSE</stp>
        <stp>FQ4 2004</stp>
        <stp>FQ4 2004</stp>
        <stp>[FA1_ivyerigx.xlsx]Income - Adjusted!R13C28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3" s="2"/>
      </tp>
      <tp>
        <v>0.28999999999999998</v>
        <stp/>
        <stp>##V3_BDHV12</stp>
        <stp>XOM US Equity</stp>
        <stp>EQY_DPS</stp>
        <stp>FQ3 2005</stp>
        <stp>FQ3 2005</stp>
        <stp>[FA1_ivyerigx.xlsx]Per Share!R20C31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0" s="5"/>
      </tp>
      <tp>
        <v>0.23</v>
        <stp/>
        <stp>##V3_BDHV12</stp>
        <stp>XOM US Equity</stp>
        <stp>EQY_DPS</stp>
        <stp>FQ3 2001</stp>
        <stp>FQ3 2001</stp>
        <stp>[FA1_ivyerigx.xlsx]Per Share!R20C15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0" s="5"/>
      </tp>
      <tp>
        <v>19471</v>
        <stp/>
        <stp>##V3_BDHV12</stp>
        <stp>XOM US Equity</stp>
        <stp>BS_ACCT_NOTE_RCV</stp>
        <stp>FQ2 2003</stp>
        <stp>FQ2 2003</stp>
        <stp>[FA1_ivyerigx.xlsx]Bal Sheet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3"/>
      </tp>
      <tp>
        <v>21117</v>
        <stp/>
        <stp>##V3_BDHV12</stp>
        <stp>XOM US Equity</stp>
        <stp>BS_ACCT_NOTE_RCV</stp>
        <stp>FQ1 2001</stp>
        <stp>FQ1 2001</stp>
        <stp>[FA1_ivyerigx.xlsx]Bal Sheet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3"/>
      </tp>
      <tp>
        <v>36450</v>
        <stp/>
        <stp>##V3_BDHV12</stp>
        <stp>XOM US Equity</stp>
        <stp>BS_ACCT_NOTE_RCV</stp>
        <stp>FQ4 2007</stp>
        <stp>FQ4 2007</stp>
        <stp>[FA1_ivyerigx.xlsx]Bal Sheet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3"/>
      </tp>
      <tp>
        <v>28390</v>
        <stp/>
        <stp>##V3_BDHV12</stp>
        <stp>XOM US Equity</stp>
        <stp>BS_ACCT_NOTE_RCV</stp>
        <stp>FQ3 2006</stp>
        <stp>FQ3 2006</stp>
        <stp>[FA1_ivyerigx.xlsx]Bal Sheet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3"/>
      </tp>
      <tp>
        <v>23089</v>
        <stp/>
        <stp>##V3_BDHV12</stp>
        <stp>XOM US Equity</stp>
        <stp>BS_ACCT_NOTE_RCV</stp>
        <stp>FQ2 2004</stp>
        <stp>FQ2 2004</stp>
        <stp>[FA1_ivyerigx.xlsx]Bal Sheet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3"/>
      </tp>
      <tp>
        <v>26193</v>
        <stp/>
        <stp>##V3_BDHV12</stp>
        <stp>XOM US Equity</stp>
        <stp>BS_ACCT_NOTE_RCV</stp>
        <stp>FQ3 2005</stp>
        <stp>FQ3 2005</stp>
        <stp>[FA1_ivyerigx.xlsx]Bal Sheet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3"/>
      </tp>
      <tp>
        <v>3.2900999999999998</v>
        <stp/>
        <stp>##V3_BDHV12</stp>
        <stp>XOM US Equity</stp>
        <stp>FREE_CASH_FLOW_PER_SH</stp>
        <stp>FQ1 2008</stp>
        <stp>FQ1 2008</stp>
        <stp>[FA1_ivyerigx.xlsx]Per Share!R23C41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3" s="5"/>
      </tp>
      <tp>
        <v>18640</v>
        <stp/>
        <stp>##V3_BDHV12</stp>
        <stp>XOM US Equity</stp>
        <stp>BS_ACCT_NOTE_RCV</stp>
        <stp>FQ1 2002</stp>
        <stp>FQ1 2002</stp>
        <stp>[FA1_ivyerigx.xlsx]Bal Sheet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3"/>
      </tp>
      <tp>
        <v>0</v>
        <stp/>
        <stp>##V3_BDHV12</stp>
        <stp>XOM US Equity</stp>
        <stp>BS_DISCLOSED_INTANGIBLES</stp>
        <stp>FQ4 2005</stp>
        <stp>FQ4 2005</stp>
        <stp>[FA1_ivyerigx.xlsx]Bal Sheet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3"/>
      </tp>
      <tp>
        <v>0</v>
        <stp/>
        <stp>##V3_BDHV12</stp>
        <stp>XOM US Equity</stp>
        <stp>BS_DISCLOSED_INTANGIBLES</stp>
        <stp>FQ4 2006</stp>
        <stp>FQ4 2006</stp>
        <stp>[FA1_ivyerigx.xlsx]Bal Sheet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3"/>
      </tp>
      <tp>
        <v>31832</v>
        <stp/>
        <stp>##V3_BDHV12</stp>
        <stp>XOM US Equity</stp>
        <stp>BS_ACCT_NOTE_RCV</stp>
        <stp>FQ3 2007</stp>
        <stp>FQ3 2007</stp>
        <stp>[FA1_ivyerigx.xlsx]Bal Sheet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3"/>
      </tp>
      <tp>
        <v>86.58</v>
        <stp/>
        <stp>##V3_BDHV12</stp>
        <stp>XOM US Equity</stp>
        <stp>PX_HIGH</stp>
        <stp>FQ2 2007</stp>
        <stp>FQ2 2007</stp>
        <stp>[FA1_ivyerigx.xlsx]Stock Value!R9C38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9" s="6"/>
      </tp>
      <tp>
        <v>44.579000000000001</v>
        <stp/>
        <stp>##V3_BDHV12</stp>
        <stp>XOM US Equity</stp>
        <stp>PX_HIGH</stp>
        <stp>FQ2 2002</stp>
        <stp>FQ2 2002</stp>
        <stp>[FA1_ivyerigx.xlsx]Stock Value!R9C18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9" s="6"/>
      </tp>
      <tp>
        <v>52.05</v>
        <stp/>
        <stp>##V3_BDHV12</stp>
        <stp>XOM US Equity</stp>
        <stp>PX_HIGH</stp>
        <stp>FQ4 2004</stp>
        <stp>FQ4 2004</stp>
        <stp>[FA1_ivyerigx.xlsx]Stock Value!R9C28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9" s="6"/>
      </tp>
      <tp>
        <v>1.72</v>
        <stp/>
        <stp>##V3_BDHV12</stp>
        <stp>XOM US Equity</stp>
        <stp>IS_BASIC_EPS_CONT_OPS</stp>
        <stp>FQ3 2007</stp>
        <stp>FQ3 2007</stp>
        <stp>[FA1_ivyerigx.xlsx]Per Share!R16C39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6" s="5"/>
      </tp>
      <tp>
        <v>4863</v>
        <stp/>
        <stp>##V3_BDHV12</stp>
        <stp>XOM US Equity</stp>
        <stp>EBITA</stp>
        <stp>FQ4 2002</stp>
        <stp>FQ4 2002</stp>
        <stp>[FA1_ivyerigx.xlsx]Income - Adjusted!R47C20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7" s="2"/>
      </tp>
      <tp t="s">
        <v>—</v>
        <stp/>
        <stp>##V3_BDHV12</stp>
        <stp>XOM US Equity</stp>
        <stp>EBITA</stp>
        <stp>FQ4 2000</stp>
        <stp>FQ4 2000</stp>
        <stp>[FA1_ivyerigx.xlsx]Income - Adjusted!R47C12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7" s="2"/>
      </tp>
      <tp t="s">
        <v>—</v>
        <stp/>
        <stp>##V3_BDHV12</stp>
        <stp>XOM US Equity</stp>
        <stp>EBITA</stp>
        <stp>FQ1 2003</stp>
        <stp>FQ1 2003</stp>
        <stp>[FA1_ivyerigx.xlsx]Income - Adjusted!R47C21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7" s="2"/>
      </tp>
      <tp t="s">
        <v>—</v>
        <stp/>
        <stp>##V3_BDHV12</stp>
        <stp>XOM US Equity</stp>
        <stp>EBITA</stp>
        <stp>FQ1 2001</stp>
        <stp>FQ1 2001</stp>
        <stp>[FA1_ivyerigx.xlsx]Income - Adjusted!R47C13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7" s="2"/>
      </tp>
      <tp t="s">
        <v>—</v>
        <stp/>
        <stp>##V3_BDHV12</stp>
        <stp>XOM US Equity</stp>
        <stp>EBITA</stp>
        <stp>FQ2 2004</stp>
        <stp>FQ2 2004</stp>
        <stp>[FA1_ivyerigx.xlsx]Income - Adjusted!R47C26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7" s="2"/>
      </tp>
      <tp>
        <v>15554</v>
        <stp/>
        <stp>##V3_BDHV12</stp>
        <stp>XOM US Equity</stp>
        <stp>EBITA</stp>
        <stp>FQ2 2006</stp>
        <stp>FQ2 2006</stp>
        <stp>[FA1_ivyerigx.xlsx]Income - Adjusted!R47C34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7" s="2"/>
      </tp>
      <tp>
        <v>3765</v>
        <stp/>
        <stp>##V3_BDHV12</stp>
        <stp>XOM US Equity</stp>
        <stp>IS_SG&amp;A_EXPENSE</stp>
        <stp>FQ3 2005</stp>
        <stp>FQ3 2005</stp>
        <stp>[FA1_ivyerigx.xlsx]Income - Adjusted!R11C31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1" s="2"/>
      </tp>
      <tp>
        <v>3196</v>
        <stp/>
        <stp>##V3_BDHV12</stp>
        <stp>XOM US Equity</stp>
        <stp>IS_SG&amp;A_EXPENSE</stp>
        <stp>FQ3 2001</stp>
        <stp>FQ3 2001</stp>
        <stp>[FA1_ivyerigx.xlsx]Income - Adjusted!R11C15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1" s="2"/>
      </tp>
      <tp t="s">
        <v>—</v>
        <stp/>
        <stp>##V3_BDHV12</stp>
        <stp>XOM US Equity</stp>
        <stp>BS_PURE_RETAINED_EARNINGS</stp>
        <stp>FQ3 1998</stp>
        <stp>FQ3 1998</stp>
        <stp>[FA1_ivyerigx.xlsx]Bal Sheet - Standardized!R44C3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4" s="3"/>
      </tp>
      <tp>
        <v>54575</v>
        <stp/>
        <stp>##V3_BDHV12</stp>
        <stp>XOM US Equity</stp>
        <stp>BS_PURE_RETAINED_EARNINGS</stp>
        <stp>FQ4 1998</stp>
        <stp>FQ4 1998</stp>
        <stp>[FA1_ivyerigx.xlsx]Bal Sheet - Standardized!R44C4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4" s="3"/>
      </tp>
      <tp>
        <v>0.22</v>
        <stp/>
        <stp>##V3_BDHV12</stp>
        <stp>XOM US Equity</stp>
        <stp>EQY_DPS</stp>
        <stp>FQ1 2000</stp>
        <stp>FQ1 2000</stp>
        <stp>[FA1_ivyerigx.xlsx]Income - Adjusted!R53C9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3" s="2"/>
      </tp>
      <tp>
        <v>54598</v>
        <stp/>
        <stp>##V3_BDHV12</stp>
        <stp>XOM US Equity</stp>
        <stp>BS_PURE_RETAINED_EARNINGS</stp>
        <stp>FQ1 1999</stp>
        <stp>FQ1 1999</stp>
        <stp>[FA1_ivyerigx.xlsx]Bal Sheet - Standardized!R44C5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4" s="3"/>
      </tp>
      <tp>
        <v>55312</v>
        <stp/>
        <stp>##V3_BDHV12</stp>
        <stp>XOM US Equity</stp>
        <stp>BS_PURE_RETAINED_EARNINGS</stp>
        <stp>FQ3 1999</stp>
        <stp>FQ3 1999</stp>
        <stp>[FA1_ivyerigx.xlsx]Bal Sheet - Standardized!R44C7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4" s="3"/>
      </tp>
      <tp>
        <v>54807</v>
        <stp/>
        <stp>##V3_BDHV12</stp>
        <stp>XOM US Equity</stp>
        <stp>BS_PURE_RETAINED_EARNINGS</stp>
        <stp>FQ2 1999</stp>
        <stp>FQ2 1999</stp>
        <stp>[FA1_ivyerigx.xlsx]Bal Sheet - Standardized!R44C6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4" s="3"/>
      </tp>
      <tp>
        <v>1.2506999999999999</v>
        <stp/>
        <stp>##V3_BDHV12</stp>
        <stp>XOM US Equity</stp>
        <stp>CUR_RATIO</stp>
        <stp>FQ1 2004</stp>
        <stp>FQ1 2004</stp>
        <stp>[FA1_ivyerigx.xlsx]Bal Sheet - Standardized!R63C25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3" s="3"/>
      </tp>
      <tp>
        <v>1.3151999999999999</v>
        <stp/>
        <stp>##V3_BDHV12</stp>
        <stp>XOM US Equity</stp>
        <stp>CUR_RATIO</stp>
        <stp>FQ2 2004</stp>
        <stp>FQ2 2004</stp>
        <stp>[FA1_ivyerigx.xlsx]Bal Sheet - Standardized!R63C26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3" s="3"/>
      </tp>
      <tp>
        <v>1.3109</v>
        <stp/>
        <stp>##V3_BDHV12</stp>
        <stp>XOM US Equity</stp>
        <stp>CUR_RATIO</stp>
        <stp>FQ3 2004</stp>
        <stp>FQ3 2004</stp>
        <stp>[FA1_ivyerigx.xlsx]Bal Sheet - Standardized!R63C27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3" s="3"/>
      </tp>
      <tp>
        <v>1.4917</v>
        <stp/>
        <stp>##V3_BDHV12</stp>
        <stp>XOM US Equity</stp>
        <stp>CUR_RATIO</stp>
        <stp>FQ3 2006</stp>
        <stp>FQ3 2006</stp>
        <stp>[FA1_ivyerigx.xlsx]Bal Sheet - Standardized!R63C35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3" s="3"/>
      </tp>
      <tp>
        <v>1.5645</v>
        <stp/>
        <stp>##V3_BDHV12</stp>
        <stp>XOM US Equity</stp>
        <stp>CUR_RATIO</stp>
        <stp>FQ2 2006</stp>
        <stp>FQ2 2006</stp>
        <stp>[FA1_ivyerigx.xlsx]Bal Sheet - Standardized!R63C34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3" s="3"/>
      </tp>
      <tp>
        <v>75055</v>
        <stp/>
        <stp>##V3_BDHV12</stp>
        <stp>XOM US Equity</stp>
        <stp>BS_PURE_RETAINED_EARNINGS</stp>
        <stp>FQ4 1999</stp>
        <stp>FQ4 1999</stp>
        <stp>[FA1_ivyerigx.xlsx]Bal Sheet - Standardized!R44C8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4" s="3"/>
      </tp>
      <tp t="s">
        <v>—</v>
        <stp/>
        <stp>##V3_BDHV12</stp>
        <stp>XOM US Equity</stp>
        <stp>IS_DEPR_EXP</stp>
        <stp>FQ1 2003</stp>
        <stp>FQ1 2003</stp>
        <stp>[FA1_ivyerigx.xlsx]Income - Adjusted!R56C21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6" s="2"/>
      </tp>
      <tp t="s">
        <v>—</v>
        <stp/>
        <stp>##V3_BDHV12</stp>
        <stp>XOM US Equity</stp>
        <stp>IS_DEPR_EXP</stp>
        <stp>FQ3 2002</stp>
        <stp>FQ3 2002</stp>
        <stp>[FA1_ivyerigx.xlsx]Income - Adjusted!R56C19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6" s="2"/>
      </tp>
      <tp>
        <v>2640</v>
        <stp/>
        <stp>##V3_BDHV12</stp>
        <stp>XOM US Equity</stp>
        <stp>EARN_FOR_COMMON</stp>
        <stp>FQ2 2002</stp>
        <stp>FQ2 2002</stp>
        <stp>[FA1_ivyerigx.xlsx]Income - Adjusted!R29C18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29" s="2"/>
      </tp>
      <tp>
        <v>11680</v>
        <stp/>
        <stp>##V3_BDHV12</stp>
        <stp>XOM US Equity</stp>
        <stp>EARN_FOR_COMMON</stp>
        <stp>FQ2 2008</stp>
        <stp>FQ2 2008</stp>
        <stp>[FA1_ivyerigx.xlsx]Income - Adjusted!R29C42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29" s="2"/>
      </tp>
      <tp>
        <v>5301</v>
        <stp/>
        <stp>##V3_BDHV12</stp>
        <stp>XOM US Equity</stp>
        <stp>IS_AVG_NUM_SH_FOR_EPS</stp>
        <stp>FQ1 2008</stp>
        <stp>FQ1 2008</stp>
        <stp>[FA1_ivyerigx.xlsx]Income - Adjusted!R33C41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3" s="2"/>
      </tp>
      <tp>
        <v>0.32</v>
        <stp/>
        <stp>##V3_BDHV12</stp>
        <stp>XOM US Equity</stp>
        <stp>EQY_DPS</stp>
        <stp>FQ1 2006</stp>
        <stp>FQ1 2006</stp>
        <stp>[FA1_ivyerigx.xlsx]Per Share!R20C33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0" s="5"/>
      </tp>
      <tp>
        <v>0.23</v>
        <stp/>
        <stp>##V3_BDHV12</stp>
        <stp>XOM US Equity</stp>
        <stp>EQY_DPS</stp>
        <stp>FQ1 2002</stp>
        <stp>FQ1 2002</stp>
        <stp>[FA1_ivyerigx.xlsx]Per Share!R20C17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0" s="5"/>
      </tp>
      <tp>
        <v>0.28999999999999998</v>
        <stp/>
        <stp>##V3_BDHV12</stp>
        <stp>XOM US Equity</stp>
        <stp>EQY_DPS</stp>
        <stp>FQ2 2005</stp>
        <stp>FQ2 2005</stp>
        <stp>[FA1_ivyerigx.xlsx]Per Share!R20C30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0" s="5"/>
      </tp>
      <tp>
        <v>0.23</v>
        <stp/>
        <stp>##V3_BDHV12</stp>
        <stp>XOM US Equity</stp>
        <stp>EQY_DPS</stp>
        <stp>FQ2 2001</stp>
        <stp>FQ2 2001</stp>
        <stp>[FA1_ivyerigx.xlsx]Per Share!R20C14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0" s="5"/>
      </tp>
      <tp>
        <v>22146</v>
        <stp/>
        <stp>##V3_BDHV12</stp>
        <stp>XOM US Equity</stp>
        <stp>BS_ACCT_NOTE_RCV</stp>
        <stp>FQ1 2003</stp>
        <stp>FQ1 2003</stp>
        <stp>[FA1_ivyerigx.xlsx]Bal Sheet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3"/>
      </tp>
      <tp>
        <v>20285</v>
        <stp/>
        <stp>##V3_BDHV12</stp>
        <stp>XOM US Equity</stp>
        <stp>BS_ACCT_NOTE_RCV</stp>
        <stp>FQ2 2000</stp>
        <stp>FQ2 2000</stp>
        <stp>[FA1_ivyerigx.xlsx]Bal Sheet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3"/>
      </tp>
      <tp>
        <v>24189</v>
        <stp/>
        <stp>##V3_BDHV12</stp>
        <stp>XOM US Equity</stp>
        <stp>BS_ACCT_NOTE_RCV</stp>
        <stp>FQ1 2004</stp>
        <stp>FQ1 2004</stp>
        <stp>[FA1_ivyerigx.xlsx]Bal Sheet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3"/>
      </tp>
      <tp>
        <v>21409</v>
        <stp/>
        <stp>##V3_BDHV12</stp>
        <stp>XOM US Equity</stp>
        <stp>BS_ACCT_NOTE_RCV</stp>
        <stp>FQ2 2001</stp>
        <stp>FQ2 2001</stp>
        <stp>[FA1_ivyerigx.xlsx]Bal Sheet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3"/>
      </tp>
      <tp>
        <v>1.6431</v>
        <stp/>
        <stp>##V3_BDHV12</stp>
        <stp>XOM US Equity</stp>
        <stp>FREE_CASH_FLOW_PER_SH</stp>
        <stp>FQ2 2008</stp>
        <stp>FQ2 2008</stp>
        <stp>[FA1_ivyerigx.xlsx]Per Share!R23C42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3" s="5"/>
      </tp>
      <tp>
        <v>0.189</v>
        <stp/>
        <stp>##V3_BDHV12</stp>
        <stp>XOM US Equity</stp>
        <stp>FREE_CASH_FLOW_PER_SH</stp>
        <stp>FQ2 2002</stp>
        <stp>FQ2 2002</stp>
        <stp>[FA1_ivyerigx.xlsx]Per Share!R23C18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3" s="5"/>
      </tp>
      <tp>
        <v>19584</v>
        <stp/>
        <stp>##V3_BDHV12</stp>
        <stp>XOM US Equity</stp>
        <stp>BS_ACCT_NOTE_RCV</stp>
        <stp>FQ2 2002</stp>
        <stp>FQ2 2002</stp>
        <stp>[FA1_ivyerigx.xlsx]Bal Sheet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3"/>
      </tp>
      <tp>
        <v>25489</v>
        <stp/>
        <stp>##V3_BDHV12</stp>
        <stp>XOM US Equity</stp>
        <stp>BS_ACCT_NOTE_RCV</stp>
        <stp>FQ1 2005</stp>
        <stp>FQ1 2005</stp>
        <stp>[FA1_ivyerigx.xlsx]Bal Sheet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3"/>
      </tp>
      <tp>
        <v>40.770000000000003</v>
        <stp/>
        <stp>##V3_BDHV12</stp>
        <stp>XOM US Equity</stp>
        <stp>PX_OPEN</stp>
        <stp>FQ3 2002</stp>
        <stp>FQ3 2002</stp>
        <stp>[FA1_ivyerigx.xlsx]Stock Value!R8C19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6"/>
      </tp>
      <tp>
        <v>84.5</v>
        <stp/>
        <stp>##V3_BDHV12</stp>
        <stp>XOM US Equity</stp>
        <stp>PX_OPEN</stp>
        <stp>FQ3 2007</stp>
        <stp>FQ3 2007</stp>
        <stp>[FA1_ivyerigx.xlsx]Stock Value!R8C39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6"/>
      </tp>
      <tp>
        <v>51.02</v>
        <stp/>
        <stp>##V3_BDHV12</stp>
        <stp>XOM US Equity</stp>
        <stp>PX_OPEN</stp>
        <stp>FQ1 2005</stp>
        <stp>FQ1 2005</stp>
        <stp>[FA1_ivyerigx.xlsx]Stock Value!R8C29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6"/>
      </tp>
      <tp>
        <v>4361</v>
        <stp/>
        <stp>##V3_BDHV12</stp>
        <stp>XOM US Equity</stp>
        <stp>IS_INC_BEF_XO_ITEM</stp>
        <stp>FQ4 1999</stp>
        <stp>FQ4 1999</stp>
        <stp>[FA1_ivyerigx.xlsx]Income - Adjusted!R20C8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2"/>
      </tp>
      <tp t="s">
        <v>—</v>
        <stp/>
        <stp>##V3_BDHV12</stp>
        <stp>XOM US Equity</stp>
        <stp>EBITA</stp>
        <stp>FQ1 2004</stp>
        <stp>FQ1 2004</stp>
        <stp>[FA1_ivyerigx.xlsx]Income - Adjusted!R47C25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7" s="2"/>
      </tp>
      <tp t="s">
        <v>—</v>
        <stp/>
        <stp>##V3_BDHV12</stp>
        <stp>XOM US Equity</stp>
        <stp>EBITA</stp>
        <stp>FQ2 2003</stp>
        <stp>FQ2 2003</stp>
        <stp>[FA1_ivyerigx.xlsx]Income - Adjusted!R47C22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7" s="2"/>
      </tp>
      <tp t="s">
        <v>—</v>
        <stp/>
        <stp>##V3_BDHV12</stp>
        <stp>XOM US Equity</stp>
        <stp>EBITA</stp>
        <stp>FQ3 2000</stp>
        <stp>FQ3 2000</stp>
        <stp>[FA1_ivyerigx.xlsx]Income - Adjusted!R47C11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7" s="2"/>
      </tp>
      <tp>
        <v>1530</v>
        <stp/>
        <stp>##V3_BDHV12</stp>
        <stp>XOM US Equity</stp>
        <stp>IS_INC_BEF_XO_ITEM</stp>
        <stp>FQ4 1998</stp>
        <stp>FQ4 1998</stp>
        <stp>[FA1_ivyerigx.xlsx]Income - Adjusted!R20C4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2"/>
      </tp>
      <tp t="s">
        <v>—</v>
        <stp/>
        <stp>##V3_BDHV12</stp>
        <stp>XOM US Equity</stp>
        <stp>IS_SG&amp;A_EXPENSE</stp>
        <stp>FQ4 2003</stp>
        <stp>FQ4 2003</stp>
        <stp>[FA1_ivyerigx.xlsx]Income - Adjusted!R11C24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1" s="2"/>
      </tp>
      <tp t="s">
        <v>—</v>
        <stp/>
        <stp>##V3_BDHV12</stp>
        <stp>XOM US Equity</stp>
        <stp>IS_SG&amp;A_EXPENSE</stp>
        <stp>FQ4 2001</stp>
        <stp>FQ4 2001</stp>
        <stp>[FA1_ivyerigx.xlsx]Income - Adjusted!R11C16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1" s="2"/>
      </tp>
      <tp t="s">
        <v>—</v>
        <stp/>
        <stp>##V3_BDHV12</stp>
        <stp>XOM US Equity</stp>
        <stp>IS_SG&amp;A_EXPENSE</stp>
        <stp>FQ4 2007</stp>
        <stp>FQ4 2007</stp>
        <stp>[FA1_ivyerigx.xlsx]Income - Adjusted!R11C40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1" s="2"/>
      </tp>
      <tp t="s">
        <v>—</v>
        <stp/>
        <stp>##V3_BDHV12</stp>
        <stp>XOM US Equity</stp>
        <stp>IS_SG&amp;A_EXPENSE</stp>
        <stp>FQ4 2005</stp>
        <stp>FQ4 2005</stp>
        <stp>[FA1_ivyerigx.xlsx]Income - Adjusted!R11C32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1" s="2"/>
      </tp>
      <tp>
        <v>1.5838000000000001</v>
        <stp/>
        <stp>##V3_BDHV12</stp>
        <stp>XOM US Equity</stp>
        <stp>CUR_RATIO</stp>
        <stp>FQ4 2005</stp>
        <stp>FQ4 2005</stp>
        <stp>[FA1_ivyerigx.xlsx]Bal Sheet - Standardized!R63C32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3" s="3"/>
      </tp>
      <tp>
        <v>1.4742</v>
        <stp/>
        <stp>##V3_BDHV12</stp>
        <stp>XOM US Equity</stp>
        <stp>CUR_RATIO</stp>
        <stp>FQ4 2007</stp>
        <stp>FQ4 2007</stp>
        <stp>[FA1_ivyerigx.xlsx]Bal Sheet - Standardized!R63C40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3" s="3"/>
      </tp>
      <tp>
        <v>1.1849000000000001</v>
        <stp/>
        <stp>##V3_BDHV12</stp>
        <stp>XOM US Equity</stp>
        <stp>CUR_RATIO</stp>
        <stp>FQ4 2001</stp>
        <stp>FQ4 2001</stp>
        <stp>[FA1_ivyerigx.xlsx]Bal Sheet - Standardized!R63C16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3" s="3"/>
      </tp>
      <tp>
        <v>1.1383000000000001</v>
        <stp/>
        <stp>##V3_BDHV12</stp>
        <stp>XOM US Equity</stp>
        <stp>CUR_RATIO</stp>
        <stp>FQ1 2001</stp>
        <stp>FQ1 2001</stp>
        <stp>[FA1_ivyerigx.xlsx]Bal Sheet - Standardized!R63C13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3" s="3"/>
      </tp>
      <tp>
        <v>1.1973</v>
        <stp/>
        <stp>##V3_BDHV12</stp>
        <stp>XOM US Equity</stp>
        <stp>CUR_RATIO</stp>
        <stp>FQ4 2003</stp>
        <stp>FQ4 2003</stp>
        <stp>[FA1_ivyerigx.xlsx]Bal Sheet - Standardized!R63C24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3" s="3"/>
      </tp>
      <tp>
        <v>1.2077</v>
        <stp/>
        <stp>##V3_BDHV12</stp>
        <stp>XOM US Equity</stp>
        <stp>CUR_RATIO</stp>
        <stp>FQ1 2003</stp>
        <stp>FQ1 2003</stp>
        <stp>[FA1_ivyerigx.xlsx]Bal Sheet - Standardized!R63C21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3" s="3"/>
      </tp>
      <tp>
        <v>1.2023999999999999</v>
        <stp/>
        <stp>##V3_BDHV12</stp>
        <stp>XOM US Equity</stp>
        <stp>CUR_RATIO</stp>
        <stp>FQ2 2003</stp>
        <stp>FQ2 2003</stp>
        <stp>[FA1_ivyerigx.xlsx]Bal Sheet - Standardized!R63C22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3" s="3"/>
      </tp>
      <tp>
        <v>1.1116999999999999</v>
        <stp/>
        <stp>##V3_BDHV12</stp>
        <stp>XOM US Equity</stp>
        <stp>CUR_RATIO</stp>
        <stp>FQ3 2003</stp>
        <stp>FQ3 2003</stp>
        <stp>[FA1_ivyerigx.xlsx]Bal Sheet - Standardized!R63C23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3" s="3"/>
      </tp>
      <tp t="s">
        <v>—</v>
        <stp/>
        <stp>##V3_BDHV12</stp>
        <stp>XOM US Equity</stp>
        <stp>IS_DEPR_EXP</stp>
        <stp>FQ3 2001</stp>
        <stp>FQ3 2001</stp>
        <stp>[FA1_ivyerigx.xlsx]Income - Adjusted!R56C15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6" s="2"/>
      </tp>
      <tp t="s">
        <v>—</v>
        <stp/>
        <stp>##V3_BDHV12</stp>
        <stp>XOM US Equity</stp>
        <stp>IS_DEPR_EXP</stp>
        <stp>FQ2 2003</stp>
        <stp>FQ2 2003</stp>
        <stp>[FA1_ivyerigx.xlsx]Income - Adjusted!R56C22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6" s="2"/>
      </tp>
      <tp t="s">
        <v>—</v>
        <stp/>
        <stp>##V3_BDHV12</stp>
        <stp>XOM US Equity</stp>
        <stp>IS_DEPR_EXP</stp>
        <stp>FQ2 2000</stp>
        <stp>FQ2 2000</stp>
        <stp>[FA1_ivyerigx.xlsx]Income - Adjusted!R56C10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6" s="2"/>
      </tp>
      <tp>
        <v>10890</v>
        <stp/>
        <stp>##V3_BDHV12</stp>
        <stp>XOM US Equity</stp>
        <stp>EARN_FOR_COMMON</stp>
        <stp>FQ1 2008</stp>
        <stp>FQ1 2008</stp>
        <stp>[FA1_ivyerigx.xlsx]Income - Adjusted!R29C41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29" s="2"/>
      </tp>
      <tp>
        <v>6.0625</v>
        <stp/>
        <stp>##V3_BDHV12</stp>
        <stp>XOM US Equity</stp>
        <stp>CHG_PCT_PERIOD</stp>
        <stp>FQ4 2004</stp>
        <stp>FQ4 2004</stp>
        <stp>[FA1_ivyerigx.xlsx]Stock Value!R7C28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6"/>
      </tp>
      <tp>
        <v>73</v>
        <stp/>
        <stp>##V3_BDHV12</stp>
        <stp>XOM US Equity</stp>
        <stp>IS_NET_INTEREST_EXPENSE</stp>
        <stp>FQ3 2007</stp>
        <stp>FQ3 2007</stp>
        <stp>[FA1_ivyerigx.xlsx]Income - Adjusted!R13C39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3" s="2"/>
      </tp>
      <tp>
        <v>11.173</v>
        <stp/>
        <stp>##V3_BDHV12</stp>
        <stp>XOM US Equity</stp>
        <stp>CHG_PCT_PERIOD</stp>
        <stp>FQ2 2007</stp>
        <stp>FQ2 2007</stp>
        <stp>[FA1_ivyerigx.xlsx]Stock Value!R7C38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6"/>
      </tp>
      <tp t="s">
        <v>—</v>
        <stp/>
        <stp>##V3_BDHV12</stp>
        <stp>XOM US Equity</stp>
        <stp>CHG_PCT_PERIOD</stp>
        <stp>FQ2 2002</stp>
        <stp>FQ2 2002</stp>
        <stp>[FA1_ivyerigx.xlsx]Stock Value!R7C18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6"/>
      </tp>
      <tp>
        <v>5201</v>
        <stp/>
        <stp>##V3_BDHV12</stp>
        <stp>XOM US Equity</stp>
        <stp>IS_AVG_NUM_SH_FOR_EPS</stp>
        <stp>FQ2 2008</stp>
        <stp>FQ2 2008</stp>
        <stp>[FA1_ivyerigx.xlsx]Income - Adjusted!R33C42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3" s="2"/>
      </tp>
      <tp>
        <v>6767</v>
        <stp/>
        <stp>##V3_BDHV12</stp>
        <stp>XOM US Equity</stp>
        <stp>IS_AVG_NUM_SH_FOR_EPS</stp>
        <stp>FQ2 2002</stp>
        <stp>FQ2 2002</stp>
        <stp>[FA1_ivyerigx.xlsx]Income - Adjusted!R33C18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3" s="2"/>
      </tp>
      <tp>
        <v>-24.0839</v>
        <stp/>
        <stp>##V3_BDHV12</stp>
        <stp>XOM US Equity</stp>
        <stp>NET_DEBT_TO_SHRHLDR_EQTY</stp>
        <stp>FQ2 2008</stp>
        <stp>FQ2 2008</stp>
        <stp>[FA1_ivyerigx.xlsx]Bal Sheet - Standardized!R61C42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1" s="3"/>
      </tp>
      <tp>
        <v>-25.489100000000001</v>
        <stp/>
        <stp>##V3_BDHV12</stp>
        <stp>XOM US Equity</stp>
        <stp>NET_DEBT_TO_SHRHLDR_EQTY</stp>
        <stp>FQ1 2008</stp>
        <stp>FQ1 2008</stp>
        <stp>[FA1_ivyerigx.xlsx]Bal Sheet - Standardized!R61C41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1" s="3"/>
      </tp>
      <tp>
        <v>-9.6852</v>
        <stp/>
        <stp>##V3_BDHV12</stp>
        <stp>XOM US Equity</stp>
        <stp>NET_DEBT_TO_SHRHLDR_EQTY</stp>
        <stp>FQ4 2004</stp>
        <stp>FQ4 2004</stp>
        <stp>[FA1_ivyerigx.xlsx]Bal Sheet - Standardized!R61C28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1" s="3"/>
      </tp>
      <tp>
        <v>7.4668999999999999</v>
        <stp/>
        <stp>##V3_BDHV12</stp>
        <stp>XOM US Equity</stp>
        <stp>NET_DEBT_TO_SHRHLDR_EQTY</stp>
        <stp>FQ2 2002</stp>
        <stp>FQ2 2002</stp>
        <stp>[FA1_ivyerigx.xlsx]Bal Sheet - Standardized!R61C18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1" s="3"/>
      </tp>
      <tp>
        <v>5.2831999999999999</v>
        <stp/>
        <stp>##V3_BDHV12</stp>
        <stp>XOM US Equity</stp>
        <stp>NET_DEBT_TO_SHRHLDR_EQTY</stp>
        <stp>FQ3 2002</stp>
        <stp>FQ3 2002</stp>
        <stp>[FA1_ivyerigx.xlsx]Bal Sheet - Standardized!R61C19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1" s="3"/>
      </tp>
      <tp>
        <v>249</v>
        <stp/>
        <stp>##V3_BDHV12</stp>
        <stp>XOM US Equity</stp>
        <stp>NON_CASH_ITEMS_DETAILED</stp>
        <stp>FQ3 1998</stp>
        <stp>FQ3 1998</stp>
        <stp>[FA1_ivyerigx.xlsx]Cash Flow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4"/>
      </tp>
      <tp>
        <v>432</v>
        <stp/>
        <stp>##V3_BDHV12</stp>
        <stp>XOM US Equity</stp>
        <stp>NON_CASH_ITEMS_DETAILED</stp>
        <stp>FQ4 1998</stp>
        <stp>FQ4 1998</stp>
        <stp>[FA1_ivyerigx.xlsx]Cash Flow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4"/>
      </tp>
      <tp t="s">
        <v>—</v>
        <stp/>
        <stp>##V3_BDHV12</stp>
        <stp>XOM US Equity</stp>
        <stp>IS_SG&amp;A_EXPENSE</stp>
        <stp>FQ4 1999</stp>
        <stp>FQ4 1999</stp>
        <stp>[FA1_ivyerigx.xlsx]Income - Adjusted!R11C8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2"/>
      </tp>
      <tp>
        <v>0</v>
        <stp/>
        <stp>##V3_BDHV12</stp>
        <stp>XOM US Equity</stp>
        <stp>BS_DISCLOSED_INTANGIBLES</stp>
        <stp>FQ1 2008</stp>
        <stp>FQ1 2008</stp>
        <stp>[FA1_ivyerigx.xlsx]Bal Sheet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3"/>
      </tp>
      <tp>
        <v>21601</v>
        <stp/>
        <stp>##V3_BDHV12</stp>
        <stp>XOM US Equity</stp>
        <stp>BS_ACCT_NOTE_RCV</stp>
        <stp>FQ3 2000</stp>
        <stp>FQ3 2000</stp>
        <stp>[FA1_ivyerigx.xlsx]Bal Sheet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3"/>
      </tp>
      <tp>
        <v>27582</v>
        <stp/>
        <stp>##V3_BDHV12</stp>
        <stp>XOM US Equity</stp>
        <stp>BS_ACCT_NOTE_RCV</stp>
        <stp>FQ1 2007</stp>
        <stp>FQ1 2007</stp>
        <stp>[FA1_ivyerigx.xlsx]Bal Sheet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3"/>
      </tp>
      <tp>
        <v>20512</v>
        <stp/>
        <stp>##V3_BDHV12</stp>
        <stp>XOM US Equity</stp>
        <stp>BS_ACCT_NOTE_RCV</stp>
        <stp>FQ3 2001</stp>
        <stp>FQ3 2001</stp>
        <stp>[FA1_ivyerigx.xlsx]Bal Sheet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3"/>
      </tp>
      <tp>
        <v>0.67730000000000001</v>
        <stp/>
        <stp>##V3_BDHV12</stp>
        <stp>XOM US Equity</stp>
        <stp>FREE_CASH_FLOW_PER_SH</stp>
        <stp>FQ3 2002</stp>
        <stp>FQ3 2002</stp>
        <stp>[FA1_ivyerigx.xlsx]Per Share!R23C19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3" s="5"/>
      </tp>
      <tp>
        <v>26962</v>
        <stp/>
        <stp>##V3_BDHV12</stp>
        <stp>XOM US Equity</stp>
        <stp>BS_ACCT_NOTE_RCV</stp>
        <stp>FQ1 2006</stp>
        <stp>FQ1 2006</stp>
        <stp>[FA1_ivyerigx.xlsx]Bal Sheet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3"/>
      </tp>
      <tp>
        <v>18699</v>
        <stp/>
        <stp>##V3_BDHV12</stp>
        <stp>XOM US Equity</stp>
        <stp>BS_ACCT_NOTE_RCV</stp>
        <stp>FQ3 2002</stp>
        <stp>FQ3 2002</stp>
        <stp>[FA1_ivyerigx.xlsx]Bal Sheet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3"/>
      </tp>
      <tp>
        <v>0</v>
        <stp/>
        <stp>##V3_BDHV12</stp>
        <stp>XOM US Equity</stp>
        <stp>BS_DISCLOSED_INTANGIBLES</stp>
        <stp>FQ4 2001</stp>
        <stp>FQ4 2001</stp>
        <stp>[FA1_ivyerigx.xlsx]Bal Sheet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3"/>
      </tp>
      <tp>
        <v>0</v>
        <stp/>
        <stp>##V3_BDHV12</stp>
        <stp>XOM US Equity</stp>
        <stp>BS_DISCLOSED_INTANGIBLES</stp>
        <stp>FQ4 2000</stp>
        <stp>FQ4 2000</stp>
        <stp>[FA1_ivyerigx.xlsx]Bal Sheet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48.45</v>
        <stp/>
        <stp>##V3_BDHV12</stp>
        <stp>XOM US Equity</stp>
        <stp>PX_OPEN</stp>
        <stp>FQ4 2004</stp>
        <stp>FQ4 2004</stp>
        <stp>[FA1_ivyerigx.xlsx]Stock Value!R8C28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6"/>
      </tp>
      <tp>
        <v>6962.2520000000004</v>
        <stp/>
        <stp>##V3_BDHV12</stp>
        <stp>XOM US Equity</stp>
        <stp>BS_SH_OUT</stp>
        <stp>FQ1 2000</stp>
        <stp>FQ1 2000</stp>
        <stp>[FA1_ivyerigx.xlsx]Per Share!R6C9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5"/>
      </tp>
      <tp>
        <v>44.2</v>
        <stp/>
        <stp>##V3_BDHV12</stp>
        <stp>XOM US Equity</stp>
        <stp>PX_OPEN</stp>
        <stp>FQ2 2002</stp>
        <stp>FQ2 2002</stp>
        <stp>[FA1_ivyerigx.xlsx]Stock Value!R8C18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6"/>
      </tp>
      <tp>
        <v>75.349999999999994</v>
        <stp/>
        <stp>##V3_BDHV12</stp>
        <stp>XOM US Equity</stp>
        <stp>PX_OPEN</stp>
        <stp>FQ2 2007</stp>
        <stp>FQ2 2007</stp>
        <stp>[FA1_ivyerigx.xlsx]Stock Value!R8C38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6"/>
      </tp>
      <tp>
        <v>1.31</v>
        <stp/>
        <stp>##V3_BDHV12</stp>
        <stp>XOM US Equity</stp>
        <stp>IS_BASIC_EPS_CONT_OPS</stp>
        <stp>FQ4 2004</stp>
        <stp>FQ4 2004</stp>
        <stp>[FA1_ivyerigx.xlsx]Per Share!R16C28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6" s="5"/>
      </tp>
      <tp>
        <v>1.1599999999999999</v>
        <stp/>
        <stp>##V3_BDHV12</stp>
        <stp>XOM US Equity</stp>
        <stp>IS_BASIC_EPS_CONT_OPS</stp>
        <stp>FQ1 2005</stp>
        <stp>FQ1 2005</stp>
        <stp>[FA1_ivyerigx.xlsx]Per Share!R16C29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6" s="5"/>
      </tp>
      <tp>
        <v>-4716</v>
        <stp/>
        <stp>##V3_BDHV12</stp>
        <stp>XOM US Equity</stp>
        <stp>CHG_IN_FXD_&amp;_INTANG_AST_DETAILED</stp>
        <stp>FQ4 1999</stp>
        <stp>FQ4 1999</stp>
        <stp>[FA1_ivyerigx.xlsx]Cash Flow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4"/>
      </tp>
      <tp>
        <v>12816</v>
        <stp/>
        <stp>##V3_BDHV12</stp>
        <stp>XOM US Equity</stp>
        <stp>EBITA</stp>
        <stp>FQ4 2006</stp>
        <stp>FQ4 2006</stp>
        <stp>[FA1_ivyerigx.xlsx]Income - Adjusted!R47C36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7" s="2"/>
      </tp>
      <tp>
        <v>13368</v>
        <stp/>
        <stp>##V3_BDHV12</stp>
        <stp>XOM US Equity</stp>
        <stp>EBITA</stp>
        <stp>FQ1 2007</stp>
        <stp>FQ1 2007</stp>
        <stp>[FA1_ivyerigx.xlsx]Income - Adjusted!R47C37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7" s="2"/>
      </tp>
      <tp t="s">
        <v>—</v>
        <stp/>
        <stp>##V3_BDHV12</stp>
        <stp>XOM US Equity</stp>
        <stp>EBITA</stp>
        <stp>FQ2 2000</stp>
        <stp>FQ2 2000</stp>
        <stp>[FA1_ivyerigx.xlsx]Income - Adjusted!R47C10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7" s="2"/>
      </tp>
      <tp t="s">
        <v>—</v>
        <stp/>
        <stp>##V3_BDHV12</stp>
        <stp>XOM US Equity</stp>
        <stp>EBITA</stp>
        <stp>FQ3 2003</stp>
        <stp>FQ3 2003</stp>
        <stp>[FA1_ivyerigx.xlsx]Income - Adjusted!R47C23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7" s="2"/>
      </tp>
      <tp>
        <v>-1632</v>
        <stp/>
        <stp>##V3_BDHV12</stp>
        <stp>XOM US Equity</stp>
        <stp>CHG_IN_FXD_&amp;_INTANG_AST_DETAILED</stp>
        <stp>FQ1 1999</stp>
        <stp>FQ1 1999</stp>
        <stp>[FA1_ivyerigx.xlsx]Cash Flow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4"/>
      </tp>
      <tp>
        <v>-2009</v>
        <stp/>
        <stp>##V3_BDHV12</stp>
        <stp>XOM US Equity</stp>
        <stp>CHG_IN_FXD_&amp;_INTANG_AST_DETAILED</stp>
        <stp>FQ2 1999</stp>
        <stp>FQ2 1999</stp>
        <stp>[FA1_ivyerigx.xlsx]Cash Flow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4"/>
      </tp>
      <tp>
        <v>-1638</v>
        <stp/>
        <stp>##V3_BDHV12</stp>
        <stp>XOM US Equity</stp>
        <stp>CHG_IN_FXD_&amp;_INTANG_AST_DETAILED</stp>
        <stp>FQ3 1999</stp>
        <stp>FQ3 1999</stp>
        <stp>[FA1_ivyerigx.xlsx]Cash Flow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4"/>
      </tp>
      <tp>
        <v>-6895</v>
        <stp/>
        <stp>##V3_BDHV12</stp>
        <stp>XOM US Equity</stp>
        <stp>CHG_IN_FXD_&amp;_INTANG_AST_DETAILED</stp>
        <stp>FQ4 1998</stp>
        <stp>FQ4 1998</stp>
        <stp>[FA1_ivyerigx.xlsx]Cash Flow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4"/>
      </tp>
      <tp>
        <v>-2161</v>
        <stp/>
        <stp>##V3_BDHV12</stp>
        <stp>XOM US Equity</stp>
        <stp>CHG_IN_FXD_&amp;_INTANG_AST_DETAILED</stp>
        <stp>FQ3 1998</stp>
        <stp>FQ3 1998</stp>
        <stp>[FA1_ivyerigx.xlsx]Cash Flow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4"/>
      </tp>
      <tp>
        <v>2015</v>
        <stp/>
        <stp>##V3_BDHV12</stp>
        <stp>XOM US Equity</stp>
        <stp>EBITDA</stp>
        <stp>FQ1 1999</stp>
        <stp>FQ1 1999</stp>
        <stp>[FA1_ivyerigx.xlsx]Cash Flow - Standardized!R42C5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42" s="4"/>
      </tp>
      <tp>
        <v>2541</v>
        <stp/>
        <stp>##V3_BDHV12</stp>
        <stp>XOM US Equity</stp>
        <stp>EBITDA</stp>
        <stp>FQ2 1999</stp>
        <stp>FQ2 1999</stp>
        <stp>[FA1_ivyerigx.xlsx]Cash Flow - Standardized!R42C6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42" s="4"/>
      </tp>
      <tp>
        <v>3339</v>
        <stp/>
        <stp>##V3_BDHV12</stp>
        <stp>XOM US Equity</stp>
        <stp>EBITDA</stp>
        <stp>FQ3 1999</stp>
        <stp>FQ3 1999</stp>
        <stp>[FA1_ivyerigx.xlsx]Cash Flow - Standardized!R42C7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42" s="4"/>
      </tp>
      <tp>
        <v>0.99180000000000001</v>
        <stp/>
        <stp>##V3_BDHV12</stp>
        <stp>XOM US Equity</stp>
        <stp>CUR_RATIO</stp>
        <stp>FQ3 2000</stp>
        <stp>FQ3 2000</stp>
        <stp>[FA1_ivyerigx.xlsx]Bal Sheet - Standardized!R63C11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3" s="3"/>
      </tp>
      <tp>
        <v>0.96009999999999995</v>
        <stp/>
        <stp>##V3_BDHV12</stp>
        <stp>XOM US Equity</stp>
        <stp>CUR_RATIO</stp>
        <stp>FQ2 2000</stp>
        <stp>FQ2 2000</stp>
        <stp>[FA1_ivyerigx.xlsx]Bal Sheet - Standardized!R63C10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3" s="3"/>
      </tp>
      <tp t="s">
        <v>—</v>
        <stp/>
        <stp>##V3_BDHV12</stp>
        <stp>XOM US Equity</stp>
        <stp>IS_DEPR_EXP</stp>
        <stp>FQ2 2001</stp>
        <stp>FQ2 2001</stp>
        <stp>[FA1_ivyerigx.xlsx]Income - Adjusted!R56C14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6" s="2"/>
      </tp>
      <tp t="s">
        <v>—</v>
        <stp/>
        <stp>##V3_BDHV12</stp>
        <stp>XOM US Equity</stp>
        <stp>IS_DEPR_EXP</stp>
        <stp>FQ1 2002</stp>
        <stp>FQ1 2002</stp>
        <stp>[FA1_ivyerigx.xlsx]Income - Adjusted!R56C17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6" s="2"/>
      </tp>
      <tp t="s">
        <v>—</v>
        <stp/>
        <stp>##V3_BDHV12</stp>
        <stp>XOM US Equity</stp>
        <stp>IS_DEPR_EXP</stp>
        <stp>FQ4 2005</stp>
        <stp>FQ4 2005</stp>
        <stp>[FA1_ivyerigx.xlsx]Income - Adjusted!R56C32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6" s="2"/>
      </tp>
      <tp t="s">
        <v>—</v>
        <stp/>
        <stp>##V3_BDHV12</stp>
        <stp>XOM US Equity</stp>
        <stp>IS_DEPR_EXP</stp>
        <stp>FQ3 2000</stp>
        <stp>FQ3 2000</stp>
        <stp>[FA1_ivyerigx.xlsx]Income - Adjusted!R56C11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6" s="2"/>
      </tp>
      <tp t="s">
        <v>—</v>
        <stp/>
        <stp>##V3_BDHV12</stp>
        <stp>XOM US Equity</stp>
        <stp>IS_DEPR_EXP</stp>
        <stp>FQ3 2003</stp>
        <stp>FQ3 2003</stp>
        <stp>[FA1_ivyerigx.xlsx]Income - Adjusted!R56C23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6" s="2"/>
      </tp>
      <tp t="s">
        <v>—</v>
        <stp/>
        <stp>##V3_BDHV12</stp>
        <stp>XOM US Equity</stp>
        <stp>IS_DEPR_EXP</stp>
        <stp>FQ4 2004</stp>
        <stp>FQ4 2004</stp>
        <stp>[FA1_ivyerigx.xlsx]Income - Adjusted!R56C28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6" s="2"/>
      </tp>
      <tp>
        <v>96</v>
        <stp/>
        <stp>##V3_BDHV12</stp>
        <stp>XOM US Equity</stp>
        <stp>IS_NET_INTEREST_EXPENSE</stp>
        <stp>FQ2 2007</stp>
        <stp>FQ2 2007</stp>
        <stp>[FA1_ivyerigx.xlsx]Income - Adjusted!R13C38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3" s="2"/>
      </tp>
      <tp>
        <v>0.495</v>
        <stp/>
        <stp>##V3_BDHV12</stp>
        <stp>XOM US Equity</stp>
        <stp>IS_DILUTED_EPS</stp>
        <stp>FQ1 2000</stp>
        <stp>FQ1 2000</stp>
        <stp>[FA1_ivyerigx.xlsx]Per Share!R17C9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7" s="5"/>
      </tp>
      <tp>
        <v>16.27</v>
        <stp/>
        <stp>##V3_BDHV12</stp>
        <stp>XOM US Equity</stp>
        <stp>CHG_PCT_PERIOD</stp>
        <stp>FQ1 2005</stp>
        <stp>FQ1 2005</stp>
        <stp>[FA1_ivyerigx.xlsx]Stock Value!R7C29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6"/>
      </tp>
      <tp>
        <v>10.348100000000001</v>
        <stp/>
        <stp>##V3_BDHV12</stp>
        <stp>XOM US Equity</stp>
        <stp>CHG_PCT_PERIOD</stp>
        <stp>FQ3 2007</stp>
        <stp>FQ3 2007</stp>
        <stp>[FA1_ivyerigx.xlsx]Stock Value!R7C39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6"/>
      </tp>
      <tp t="s">
        <v>—</v>
        <stp/>
        <stp>##V3_BDHV12</stp>
        <stp>XOM US Equity</stp>
        <stp>CHG_PCT_PERIOD</stp>
        <stp>FQ3 2002</stp>
        <stp>FQ3 2002</stp>
        <stp>[FA1_ivyerigx.xlsx]Stock Value!R7C19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6"/>
      </tp>
      <tp>
        <v>0.21</v>
        <stp/>
        <stp>##V3_BDHV12</stp>
        <stp>XOM US Equity</stp>
        <stp>IS_EARN_BEF_XO_ITEMS_PER_SH</stp>
        <stp>FQ1 1999</stp>
        <stp>FQ1 1999</stp>
        <stp>[FA1_ivyerigx.xlsx]Per Share!R15C5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5" s="5"/>
      </tp>
      <tp>
        <v>0.25</v>
        <stp/>
        <stp>##V3_BDHV12</stp>
        <stp>XOM US Equity</stp>
        <stp>IS_EARN_BEF_XO_ITEMS_PER_SH</stp>
        <stp>FQ2 1999</stp>
        <stp>FQ2 1999</stp>
        <stp>[FA1_ivyerigx.xlsx]Per Share!R15C6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5" s="5"/>
      </tp>
      <tp>
        <v>0.31</v>
        <stp/>
        <stp>##V3_BDHV12</stp>
        <stp>XOM US Equity</stp>
        <stp>IS_EARN_BEF_XO_ITEMS_PER_SH</stp>
        <stp>FQ3 1999</stp>
        <stp>FQ3 1999</stp>
        <stp>[FA1_ivyerigx.xlsx]Per Share!R15C7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5" s="5"/>
      </tp>
      <tp>
        <v>6740</v>
        <stp/>
        <stp>##V3_BDHV12</stp>
        <stp>XOM US Equity</stp>
        <stp>IS_AVG_NUM_SH_FOR_EPS</stp>
        <stp>FQ3 2002</stp>
        <stp>FQ3 2002</stp>
        <stp>[FA1_ivyerigx.xlsx]Income - Adjusted!R33C19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3" s="2"/>
      </tp>
      <tp>
        <v>0.22</v>
        <stp/>
        <stp>##V3_BDHV12</stp>
        <stp>XOM US Equity</stp>
        <stp>EQY_DPS</stp>
        <stp>FQ4 2001</stp>
        <stp>FQ4 2001</stp>
        <stp>[FA1_ivyerigx.xlsx]Per Share!R20C16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0" s="5"/>
      </tp>
      <tp>
        <v>0.25</v>
        <stp/>
        <stp>##V3_BDHV12</stp>
        <stp>XOM US Equity</stp>
        <stp>EQY_DPS</stp>
        <stp>FQ4 2003</stp>
        <stp>FQ4 2003</stp>
        <stp>[FA1_ivyerigx.xlsx]Per Share!R20C24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0" s="5"/>
      </tp>
      <tp>
        <v>0.35</v>
        <stp/>
        <stp>##V3_BDHV12</stp>
        <stp>XOM US Equity</stp>
        <stp>EQY_DPS</stp>
        <stp>FQ4 2007</stp>
        <stp>FQ4 2007</stp>
        <stp>[FA1_ivyerigx.xlsx]Per Share!R20C40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0" s="5"/>
      </tp>
      <tp>
        <v>0.28999999999999998</v>
        <stp/>
        <stp>##V3_BDHV12</stp>
        <stp>XOM US Equity</stp>
        <stp>EQY_DPS</stp>
        <stp>FQ4 2005</stp>
        <stp>FQ4 2005</stp>
        <stp>[FA1_ivyerigx.xlsx]Per Share!R20C32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0" s="5"/>
      </tp>
      <tp>
        <v>-542</v>
        <stp/>
        <stp>##V3_BDHV12</stp>
        <stp>XOM US Equity</stp>
        <stp>NON_CASH_ITEMS_DETAILED</stp>
        <stp>FQ1 1999</stp>
        <stp>FQ1 1999</stp>
        <stp>[FA1_ivyerigx.xlsx]Cash Flow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4"/>
      </tp>
      <tp>
        <v>7</v>
        <stp/>
        <stp>##V3_BDHV12</stp>
        <stp>XOM US Equity</stp>
        <stp>NON_CASH_ITEMS_DETAILED</stp>
        <stp>FQ3 1999</stp>
        <stp>FQ3 1999</stp>
        <stp>[FA1_ivyerigx.xlsx]Cash Flow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4"/>
      </tp>
      <tp>
        <v>-202</v>
        <stp/>
        <stp>##V3_BDHV12</stp>
        <stp>XOM US Equity</stp>
        <stp>NON_CASH_ITEMS_DETAILED</stp>
        <stp>FQ2 1999</stp>
        <stp>FQ2 1999</stp>
        <stp>[FA1_ivyerigx.xlsx]Cash Flow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4"/>
      </tp>
      <tp>
        <v>1654</v>
        <stp/>
        <stp>##V3_BDHV12</stp>
        <stp>XOM US Equity</stp>
        <stp>BS_NUM_OF_TSY_SH</stp>
        <stp>FQ1 2005</stp>
        <stp>FQ1 2005</stp>
        <stp>[FA1_ivyerigx.xlsx]Bal Sheet - Standardized!R54C29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4" s="3"/>
      </tp>
      <tp>
        <v>-259</v>
        <stp/>
        <stp>##V3_BDHV12</stp>
        <stp>XOM US Equity</stp>
        <stp>NON_CASH_ITEMS_DETAILED</stp>
        <stp>FQ4 1999</stp>
        <stp>FQ4 1999</stp>
        <stp>[FA1_ivyerigx.xlsx]Cash Flow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4"/>
      </tp>
      <tp>
        <v>2473</v>
        <stp/>
        <stp>##V3_BDHV12</stp>
        <stp>XOM US Equity</stp>
        <stp>BS_NUM_OF_TSY_SH</stp>
        <stp>FQ2 2007</stp>
        <stp>FQ2 2007</stp>
        <stp>[FA1_ivyerigx.xlsx]Bal Sheet - Standardized!R54C38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4" s="3"/>
      </tp>
      <tp>
        <v>2556</v>
        <stp/>
        <stp>##V3_BDHV12</stp>
        <stp>XOM US Equity</stp>
        <stp>BS_NUM_OF_TSY_SH</stp>
        <stp>FQ3 2007</stp>
        <stp>FQ3 2007</stp>
        <stp>[FA1_ivyerigx.xlsx]Bal Sheet - Standardized!R54C39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4" s="3"/>
      </tp>
      <tp>
        <v>192</v>
        <stp/>
        <stp>##V3_BDHV12</stp>
        <stp>XOM US Equity</stp>
        <stp>OTHER_NON_CASH_ADJ_LESS_DETAILED</stp>
        <stp>FQ3 2002</stp>
        <stp>FQ3 2002</stp>
        <stp>[FA1_ivyerigx.xlsx]Cash Flow - Standardized!R11C19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1" s="4"/>
      </tp>
      <tp>
        <v>236661</v>
        <stp/>
        <stp>##V3_BDHV12</stp>
        <stp>XOM US Equity</stp>
        <stp>TOT_LIAB_AND_EQY</stp>
        <stp>FQ3 2007</stp>
        <stp>FQ3 2007</stp>
        <stp>[FA1_ivyerigx.xlsx]Bal Sheet - Standardized!R49C39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9" s="3"/>
      </tp>
      <tp>
        <v>-18</v>
        <stp/>
        <stp>##V3_BDHV12</stp>
        <stp>XOM US Equity</stp>
        <stp>PROC_FR_REPAYMNTS_BOR_DETAILED</stp>
        <stp>FQ4 2002</stp>
        <stp>FQ4 2002</stp>
        <stp>[FA1_ivyerigx.xlsx]Cash Flow - Standardized!R29C20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9" s="4"/>
      </tp>
      <tp>
        <v>0</v>
        <stp/>
        <stp>##V3_BDHV12</stp>
        <stp>XOM US Equity</stp>
        <stp>BS_PFD_EQTY_&amp;_HYBRID_CPTL</stp>
        <stp>FQ2 2002</stp>
        <stp>FQ2 2002</stp>
        <stp>[FA1_ivyerigx.xlsx]Bal Sheet - Standardized!R41C18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1" s="3"/>
      </tp>
      <tp>
        <v>-690</v>
        <stp/>
        <stp>##V3_BDHV12</stp>
        <stp>XOM US Equity</stp>
        <stp>PROC_FR_REPAYMNTS_BOR_DETAILED</stp>
        <stp>FQ4 2003</stp>
        <stp>FQ4 2003</stp>
        <stp>[FA1_ivyerigx.xlsx]Cash Flow - Standardized!R29C24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9" s="4"/>
      </tp>
      <tp>
        <v>0</v>
        <stp/>
        <stp>##V3_BDHV12</stp>
        <stp>XOM US Equity</stp>
        <stp>BS_PFD_EQTY_&amp;_HYBRID_CPTL</stp>
        <stp>FQ1 2005</stp>
        <stp>FQ1 2005</stp>
        <stp>[FA1_ivyerigx.xlsx]Bal Sheet - Standardized!R41C29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1" s="3"/>
      </tp>
      <tp>
        <v>1.9668000000000001</v>
        <stp/>
        <stp>##V3_BDHV12</stp>
        <stp>XOM US Equity</stp>
        <stp>FREE_CASH_FLOW_PER_SH</stp>
        <stp>FQ3 2005</stp>
        <stp>FQ3 2005</stp>
        <stp>[FA1_ivyerigx.xlsx]Per Share!R23C31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3" s="5"/>
      </tp>
      <tp>
        <v>0.40310000000000001</v>
        <stp/>
        <stp>##V3_BDHV12</stp>
        <stp>XOM US Equity</stp>
        <stp>FREE_CASH_FLOW_PER_SH</stp>
        <stp>FQ3 2001</stp>
        <stp>FQ3 2001</stp>
        <stp>[FA1_ivyerigx.xlsx]Per Share!R23C15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3" s="5"/>
      </tp>
      <tp>
        <v>221</v>
        <stp/>
        <stp>##V3_BDHV12</stp>
        <stp>XOM US Equity</stp>
        <stp>OTHER_NON_CASH_ADJ_LESS_DETAILED</stp>
        <stp>FQ1 2007</stp>
        <stp>FQ1 2007</stp>
        <stp>[FA1_ivyerigx.xlsx]Cash Flow - Standardized!R11C37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1" s="4"/>
      </tp>
      <tp>
        <v>0</v>
        <stp/>
        <stp>##V3_BDHV12</stp>
        <stp>XOM US Equity</stp>
        <stp>BS_PFD_EQTY_&amp;_HYBRID_CPTL</stp>
        <stp>FQ1 2003</stp>
        <stp>FQ1 2003</stp>
        <stp>[FA1_ivyerigx.xlsx]Bal Sheet - Standardized!R41C21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1" s="3"/>
      </tp>
      <tp>
        <v>209721</v>
        <stp/>
        <stp>##V3_BDHV12</stp>
        <stp>XOM US Equity</stp>
        <stp>TOT_LIAB_AND_EQY</stp>
        <stp>FQ3 2005</stp>
        <stp>FQ3 2005</stp>
        <stp>[FA1_ivyerigx.xlsx]Bal Sheet - Standardized!R49C31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9" s="3"/>
      </tp>
      <tp t="s">
        <v>—</v>
        <stp/>
        <stp>##V3_BDHV12</stp>
        <stp>XOM US Equity</stp>
        <stp>BS_PFD_EQTY_&amp;_HYBRID_CPTL</stp>
        <stp>FQ2 2000</stp>
        <stp>FQ2 2000</stp>
        <stp>[FA1_ivyerigx.xlsx]Bal Sheet - Standardized!R41C10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1" s="3"/>
      </tp>
      <tp>
        <v>142037</v>
        <stp/>
        <stp>##V3_BDHV12</stp>
        <stp>XOM US Equity</stp>
        <stp>TOT_LIAB_AND_EQY</stp>
        <stp>FQ1 2002</stp>
        <stp>FQ1 2002</stp>
        <stp>[FA1_ivyerigx.xlsx]Bal Sheet - Standardized!R49C17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9" s="3"/>
      </tp>
      <tp>
        <v>-491</v>
        <stp/>
        <stp>##V3_BDHV12</stp>
        <stp>XOM US Equity</stp>
        <stp>OTHER_NON_CASH_ADJ_LESS_DETAILED</stp>
        <stp>FQ3 2000</stp>
        <stp>FQ3 2000</stp>
        <stp>[FA1_ivyerigx.xlsx]Cash Flow - Standardized!R11C11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1" s="4"/>
      </tp>
      <tp>
        <v>0</v>
        <stp/>
        <stp>##V3_BDHV12</stp>
        <stp>XOM US Equity</stp>
        <stp>BS_PFD_EQTY_&amp;_HYBRID_CPTL</stp>
        <stp>FQ1 2004</stp>
        <stp>FQ1 2004</stp>
        <stp>[FA1_ivyerigx.xlsx]Bal Sheet - Standardized!R41C25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1" s="3"/>
      </tp>
      <tp>
        <v>0</v>
        <stp/>
        <stp>##V3_BDHV12</stp>
        <stp>XOM US Equity</stp>
        <stp>BS_PFD_EQTY_&amp;_HYBRID_CPTL</stp>
        <stp>FQ2 2001</stp>
        <stp>FQ2 2001</stp>
        <stp>[FA1_ivyerigx.xlsx]Bal Sheet - Standardized!R41C14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1" s="3"/>
      </tp>
      <tp>
        <v>242082</v>
        <stp/>
        <stp>##V3_BDHV12</stp>
        <stp>XOM US Equity</stp>
        <stp>TOT_LIAB_AND_EQY</stp>
        <stp>FQ4 2007</stp>
        <stp>FQ4 2007</stp>
        <stp>[FA1_ivyerigx.xlsx]Bal Sheet - Standardized!R49C40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9" s="3"/>
      </tp>
      <tp>
        <v>148786</v>
        <stp/>
        <stp>##V3_BDHV12</stp>
        <stp>XOM US Equity</stp>
        <stp>TOT_LIAB_AND_EQY</stp>
        <stp>FQ1 2001</stp>
        <stp>FQ1 2001</stp>
        <stp>[FA1_ivyerigx.xlsx]Bal Sheet - Standardized!R49C13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9" s="3"/>
      </tp>
      <tp>
        <v>165103</v>
        <stp/>
        <stp>##V3_BDHV12</stp>
        <stp>XOM US Equity</stp>
        <stp>TOT_LIAB_AND_EQY</stp>
        <stp>FQ2 2003</stp>
        <stp>FQ2 2003</stp>
        <stp>[FA1_ivyerigx.xlsx]Bal Sheet - Standardized!R49C22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9" s="3"/>
      </tp>
      <tp>
        <v>-1965</v>
        <stp/>
        <stp>##V3_BDHV12</stp>
        <stp>XOM US Equity</stp>
        <stp>PROC_FR_REPAYMNTS_BOR_DETAILED</stp>
        <stp>FQ4 2004</stp>
        <stp>FQ4 2004</stp>
        <stp>[FA1_ivyerigx.xlsx]Cash Flow - Standardized!R29C28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9" s="4"/>
      </tp>
      <tp>
        <v>-411</v>
        <stp/>
        <stp>##V3_BDHV12</stp>
        <stp>XOM US Equity</stp>
        <stp>PROC_FR_REPAYMNTS_BOR_DETAILED</stp>
        <stp>FQ2 2008</stp>
        <stp>FQ2 2008</stp>
        <stp>[FA1_ivyerigx.xlsx]Cash Flow - Standardized!R29C42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9" s="4"/>
      </tp>
      <tp>
        <v>330</v>
        <stp/>
        <stp>##V3_BDHV12</stp>
        <stp>XOM US Equity</stp>
        <stp>OTHER_NON_CASH_ADJ_LESS_DETAILED</stp>
        <stp>FQ1 2006</stp>
        <stp>FQ1 2006</stp>
        <stp>[FA1_ivyerigx.xlsx]Cash Flow - Standardized!R11C33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1" s="4"/>
      </tp>
      <tp>
        <v>180989</v>
        <stp/>
        <stp>##V3_BDHV12</stp>
        <stp>XOM US Equity</stp>
        <stp>TOT_LIAB_AND_EQY</stp>
        <stp>FQ2 2004</stp>
        <stp>FQ2 2004</stp>
        <stp>[FA1_ivyerigx.xlsx]Bal Sheet - Standardized!R49C26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9" s="3"/>
      </tp>
      <tp>
        <v>223947</v>
        <stp/>
        <stp>##V3_BDHV12</stp>
        <stp>XOM US Equity</stp>
        <stp>TOT_LIAB_AND_EQY</stp>
        <stp>FQ3 2006</stp>
        <stp>FQ3 2006</stp>
        <stp>[FA1_ivyerigx.xlsx]Bal Sheet - Standardized!R49C35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9" s="3"/>
      </tp>
      <tp>
        <v>542</v>
        <stp/>
        <stp>##V3_BDHV12</stp>
        <stp>XOM US Equity</stp>
        <stp>OTHER_NON_CASH_ADJ_LESS_DETAILED</stp>
        <stp>FQ3 2001</stp>
        <stp>FQ3 2001</stp>
        <stp>[FA1_ivyerigx.xlsx]Cash Flow - Standardized!R11C15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1" s="4"/>
      </tp>
      <tp>
        <v>0</v>
        <stp/>
        <stp>##V3_BDHV12</stp>
        <stp>XOM US Equity</stp>
        <stp>CF_INCR_INVEST</stp>
        <stp>FQ2 2003</stp>
        <stp>FQ2 2003</stp>
        <stp>[FA1_ivyerigx.xlsx]Cash Flow - Standardized!R23C22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3" s="4"/>
      </tp>
      <tp>
        <v>0</v>
        <stp/>
        <stp>##V3_BDHV12</stp>
        <stp>XOM US Equity</stp>
        <stp>CF_INCR_INVEST</stp>
        <stp>FQ1 2001</stp>
        <stp>FQ1 2001</stp>
        <stp>[FA1_ivyerigx.xlsx]Cash Flow - Standardized!R23C13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3" s="4"/>
      </tp>
      <tp>
        <v>0</v>
        <stp/>
        <stp>##V3_BDHV12</stp>
        <stp>XOM US Equity</stp>
        <stp>CF_INCR_INVEST</stp>
        <stp>FQ4 2007</stp>
        <stp>FQ4 2007</stp>
        <stp>[FA1_ivyerigx.xlsx]Cash Flow - Standardized!R23C40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3" s="4"/>
      </tp>
      <tp>
        <v>0</v>
        <stp/>
        <stp>##V3_BDHV12</stp>
        <stp>XOM US Equity</stp>
        <stp>CF_DECR_INVEST</stp>
        <stp>FQ4 2007</stp>
        <stp>FQ4 2007</stp>
        <stp>[FA1_ivyerigx.xlsx]Cash Flow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4"/>
      </tp>
      <tp>
        <v>0</v>
        <stp/>
        <stp>##V3_BDHV12</stp>
        <stp>XOM US Equity</stp>
        <stp>CF_DECR_INVEST</stp>
        <stp>FQ2 2003</stp>
        <stp>FQ2 2003</stp>
        <stp>[FA1_ivyerigx.xlsx]Cash Flow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4"/>
      </tp>
      <tp>
        <v>0</v>
        <stp/>
        <stp>##V3_BDHV12</stp>
        <stp>XOM US Equity</stp>
        <stp>CF_DECR_INVEST</stp>
        <stp>FQ1 2001</stp>
        <stp>FQ1 2001</stp>
        <stp>[FA1_ivyerigx.xlsx]Cash Flow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4"/>
      </tp>
      <tp t="s">
        <v>—</v>
        <stp/>
        <stp>##V3_BDHV12</stp>
        <stp>XOM US Equity</stp>
        <stp>IS_EXPORT_SALES</stp>
        <stp>FQ1 2000</stp>
        <stp>FQ1 2000</stp>
        <stp>[FA1_ivyerigx.xlsx]Income - Adjusted!R55C9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5" s="2"/>
      </tp>
      <tp>
        <v>43.4</v>
        <stp/>
        <stp>##V3_BDHV12</stp>
        <stp>XOM US Equity</stp>
        <stp>PX_HIGH</stp>
        <stp>FQ1 2004</stp>
        <stp>FQ1 2004</stp>
        <stp>[FA1_ivyerigx.xlsx]Stock Value!R9C25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9" s="6"/>
      </tp>
      <tp>
        <v>0</v>
        <stp/>
        <stp>##V3_BDHV12</stp>
        <stp>XOM US Equity</stp>
        <stp>CF_INCR_INVEST</stp>
        <stp>FQ3 2006</stp>
        <stp>FQ3 2006</stp>
        <stp>[FA1_ivyerigx.xlsx]Cash Flow - Standardized!R23C35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3" s="4"/>
      </tp>
      <tp>
        <v>0</v>
        <stp/>
        <stp>##V3_BDHV12</stp>
        <stp>XOM US Equity</stp>
        <stp>CF_INCR_INVEST</stp>
        <stp>FQ2 2004</stp>
        <stp>FQ2 2004</stp>
        <stp>[FA1_ivyerigx.xlsx]Cash Flow - Standardized!R23C26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3" s="4"/>
      </tp>
      <tp>
        <v>0</v>
        <stp/>
        <stp>##V3_BDHV12</stp>
        <stp>XOM US Equity</stp>
        <stp>CF_DECR_INVEST</stp>
        <stp>FQ3 2006</stp>
        <stp>FQ3 2006</stp>
        <stp>[FA1_ivyerigx.xlsx]Cash Flow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4"/>
      </tp>
      <tp>
        <v>0</v>
        <stp/>
        <stp>##V3_BDHV12</stp>
        <stp>XOM US Equity</stp>
        <stp>CF_DECR_INVEST</stp>
        <stp>FQ2 2004</stp>
        <stp>FQ2 2004</stp>
        <stp>[FA1_ivyerigx.xlsx]Cash Flow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4"/>
      </tp>
      <tp>
        <v>71.22</v>
        <stp/>
        <stp>##V3_BDHV12</stp>
        <stp>XOM US Equity</stp>
        <stp>PX_HIGH</stp>
        <stp>FQ3 2006</stp>
        <stp>FQ3 2006</stp>
        <stp>[FA1_ivyerigx.xlsx]Stock Value!R9C35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9" s="6"/>
      </tp>
      <tp>
        <v>44.4</v>
        <stp/>
        <stp>##V3_BDHV12</stp>
        <stp>XOM US Equity</stp>
        <stp>PX_HIGH</stp>
        <stp>FQ3 2001</stp>
        <stp>FQ3 2001</stp>
        <stp>[FA1_ivyerigx.xlsx]Stock Value!R9C15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9" s="6"/>
      </tp>
      <tp>
        <v>44.53</v>
        <stp/>
        <stp>##V3_BDHV12</stp>
        <stp>XOM US Equity</stp>
        <stp>PX_OPEN</stp>
        <stp>FQ3 2004</stp>
        <stp>FQ3 2004</stp>
        <stp>[FA1_ivyerigx.xlsx]Stock Value!R8C27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6"/>
      </tp>
      <tp>
        <v>0</v>
        <stp/>
        <stp>##V3_BDHV12</stp>
        <stp>XOM US Equity</stp>
        <stp>CF_INCR_INVEST</stp>
        <stp>FQ3 2005</stp>
        <stp>FQ3 2005</stp>
        <stp>[FA1_ivyerigx.xlsx]Cash Flow - Standardized!R23C31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3" s="4"/>
      </tp>
      <tp>
        <v>0</v>
        <stp/>
        <stp>##V3_BDHV12</stp>
        <stp>XOM US Equity</stp>
        <stp>CF_DECR_INVEST</stp>
        <stp>FQ3 2005</stp>
        <stp>FQ3 2005</stp>
        <stp>[FA1_ivyerigx.xlsx]Cash Flow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4"/>
      </tp>
      <tp>
        <v>0</v>
        <stp/>
        <stp>##V3_BDHV12</stp>
        <stp>XOM US Equity</stp>
        <stp>CF_INCR_INVEST</stp>
        <stp>FQ1 2002</stp>
        <stp>FQ1 2002</stp>
        <stp>[FA1_ivyerigx.xlsx]Cash Flow - Standardized!R23C17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3" s="4"/>
      </tp>
      <tp>
        <v>0</v>
        <stp/>
        <stp>##V3_BDHV12</stp>
        <stp>XOM US Equity</stp>
        <stp>CF_DECR_INVEST</stp>
        <stp>FQ1 2002</stp>
        <stp>FQ1 2002</stp>
        <stp>[FA1_ivyerigx.xlsx]Cash Flow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4"/>
      </tp>
      <tp>
        <v>0.96</v>
        <stp/>
        <stp>##V3_BDHV12</stp>
        <stp>XOM US Equity</stp>
        <stp>IS_BASIC_EPS_CONT_OPS</stp>
        <stp>FQ3 2004</stp>
        <stp>FQ3 2004</stp>
        <stp>[FA1_ivyerigx.xlsx]Per Share!R16C27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6" s="5"/>
      </tp>
      <tp>
        <v>1.79</v>
        <stp/>
        <stp>##V3_BDHV12</stp>
        <stp>XOM US Equity</stp>
        <stp>IS_BASIC_EPS_CONT_OPS</stp>
        <stp>FQ3 2006</stp>
        <stp>FQ3 2006</stp>
        <stp>[FA1_ivyerigx.xlsx]Per Share!R16C35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6" s="5"/>
      </tp>
      <tp>
        <v>39.299999999999997</v>
        <stp/>
        <stp>##V3_BDHV12</stp>
        <stp>XOM US Equity</stp>
        <stp>PX_OPEN</stp>
        <stp>FQ1 2002</stp>
        <stp>FQ1 2002</stp>
        <stp>[FA1_ivyerigx.xlsx]Stock Value!R8C17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6"/>
      </tp>
      <tp>
        <v>76.260000000000005</v>
        <stp/>
        <stp>##V3_BDHV12</stp>
        <stp>XOM US Equity</stp>
        <stp>PX_OPEN</stp>
        <stp>FQ1 2007</stp>
        <stp>FQ1 2007</stp>
        <stp>[FA1_ivyerigx.xlsx]Stock Value!R8C37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6"/>
      </tp>
      <tp>
        <v>0</v>
        <stp/>
        <stp>##V3_BDHV12</stp>
        <stp>XOM US Equity</stp>
        <stp>IS_EXPORT_SALES</stp>
        <stp>FQ1 1999</stp>
        <stp>FQ1 1999</stp>
        <stp>[FA1_ivyerigx.xlsx]Income - Adjusted!R55C5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5" s="2"/>
      </tp>
      <tp>
        <v>0</v>
        <stp/>
        <stp>##V3_BDHV12</stp>
        <stp>XOM US Equity</stp>
        <stp>CF_INCR_INVEST</stp>
        <stp>FQ3 2007</stp>
        <stp>FQ3 2007</stp>
        <stp>[FA1_ivyerigx.xlsx]Cash Flow - Standardized!R23C39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3" s="4"/>
      </tp>
      <tp>
        <v>0</v>
        <stp/>
        <stp>##V3_BDHV12</stp>
        <stp>XOM US Equity</stp>
        <stp>CF_DECR_INVEST</stp>
        <stp>FQ3 2007</stp>
        <stp>FQ3 2007</stp>
        <stp>[FA1_ivyerigx.xlsx]Cash Flow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4"/>
      </tp>
      <tp>
        <v>0.31</v>
        <stp/>
        <stp>##V3_BDHV12</stp>
        <stp>XOM US Equity</stp>
        <stp>IS_EPS</stp>
        <stp>FQ3 1999</stp>
        <stp>FQ3 1999</stp>
        <stp>[FA1_ivyerigx.xlsx]Income - Adjusted!R34C7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34" s="2"/>
      </tp>
      <tp>
        <v>0.25</v>
        <stp/>
        <stp>##V3_BDHV12</stp>
        <stp>XOM US Equity</stp>
        <stp>IS_EPS</stp>
        <stp>FQ2 1999</stp>
        <stp>FQ2 1999</stp>
        <stp>[FA1_ivyerigx.xlsx]Income - Adjusted!R34C6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34" s="2"/>
      </tp>
      <tp>
        <v>0.21</v>
        <stp/>
        <stp>##V3_BDHV12</stp>
        <stp>XOM US Equity</stp>
        <stp>IS_EPS</stp>
        <stp>FQ1 1999</stp>
        <stp>FQ1 1999</stp>
        <stp>[FA1_ivyerigx.xlsx]Income - Adjusted!R34C5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34" s="2"/>
      </tp>
      <tp>
        <v>0.6</v>
        <stp/>
        <stp>##V3_BDHV12</stp>
        <stp>XOM US Equity</stp>
        <stp>IS_EPS</stp>
        <stp>FQ4 1999</stp>
        <stp>FQ4 1999</stp>
        <stp>[FA1_ivyerigx.xlsx]Income - Adjusted!R34C8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34" s="2"/>
      </tp>
      <tp>
        <v>14921</v>
        <stp/>
        <stp>##V3_BDHV12</stp>
        <stp>XOM US Equity</stp>
        <stp>EBITA</stp>
        <stp>FQ2 2007</stp>
        <stp>FQ2 2007</stp>
        <stp>[FA1_ivyerigx.xlsx]Income - Adjusted!R47C38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7" s="2"/>
      </tp>
      <tp>
        <v>3802</v>
        <stp/>
        <stp>##V3_BDHV12</stp>
        <stp>XOM US Equity</stp>
        <stp>IS_SG&amp;A_EXPENSE</stp>
        <stp>FQ1 2008</stp>
        <stp>FQ1 2008</stp>
        <stp>[FA1_ivyerigx.xlsx]Income - Adjusted!R11C41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1" s="2"/>
      </tp>
      <tp>
        <v>1.4361999999999999</v>
        <stp/>
        <stp>##V3_BDHV12</stp>
        <stp>XOM US Equity</stp>
        <stp>CUR_RATIO</stp>
        <stp>FQ1 2005</stp>
        <stp>FQ1 2005</stp>
        <stp>[FA1_ivyerigx.xlsx]Bal Sheet - Standardized!R63C29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63" s="3"/>
      </tp>
      <tp>
        <v>1.5244</v>
        <stp/>
        <stp>##V3_BDHV12</stp>
        <stp>XOM US Equity</stp>
        <stp>CUR_RATIO</stp>
        <stp>FQ3 2007</stp>
        <stp>FQ3 2007</stp>
        <stp>[FA1_ivyerigx.xlsx]Bal Sheet - Standardized!R63C39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63" s="3"/>
      </tp>
      <tp>
        <v>1.5548</v>
        <stp/>
        <stp>##V3_BDHV12</stp>
        <stp>XOM US Equity</stp>
        <stp>CUR_RATIO</stp>
        <stp>FQ2 2007</stp>
        <stp>FQ2 2007</stp>
        <stp>[FA1_ivyerigx.xlsx]Bal Sheet - Standardized!R63C38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63" s="3"/>
      </tp>
      <tp>
        <v>3104</v>
        <stp/>
        <stp>##V3_BDHV12</stp>
        <stp>XOM US Equity</stp>
        <stp>IS_DEPR_EXP</stp>
        <stp>FQ1 2008</stp>
        <stp>FQ1 2008</stp>
        <stp>[FA1_ivyerigx.xlsx]Income - Adjusted!R56C41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6" s="2"/>
      </tp>
      <tp>
        <v>6650</v>
        <stp/>
        <stp>##V3_BDHV12</stp>
        <stp>XOM US Equity</stp>
        <stp>EARN_FOR_COMMON</stp>
        <stp>FQ4 2003</stp>
        <stp>FQ4 2003</stp>
        <stp>[FA1_ivyerigx.xlsx]Income - Adjusted!R29C24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29" s="2"/>
      </tp>
      <tp>
        <v>2680</v>
        <stp/>
        <stp>##V3_BDHV12</stp>
        <stp>XOM US Equity</stp>
        <stp>EARN_FOR_COMMON</stp>
        <stp>FQ4 2001</stp>
        <stp>FQ4 2001</stp>
        <stp>[FA1_ivyerigx.xlsx]Income - Adjusted!R29C16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29" s="2"/>
      </tp>
      <tp>
        <v>11660</v>
        <stp/>
        <stp>##V3_BDHV12</stp>
        <stp>XOM US Equity</stp>
        <stp>EARN_FOR_COMMON</stp>
        <stp>FQ4 2007</stp>
        <stp>FQ4 2007</stp>
        <stp>[FA1_ivyerigx.xlsx]Income - Adjusted!R29C40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29" s="2"/>
      </tp>
      <tp>
        <v>10710</v>
        <stp/>
        <stp>##V3_BDHV12</stp>
        <stp>XOM US Equity</stp>
        <stp>EARN_FOR_COMMON</stp>
        <stp>FQ4 2005</stp>
        <stp>FQ4 2005</stp>
        <stp>[FA1_ivyerigx.xlsx]Income - Adjusted!R29C32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29" s="2"/>
      </tp>
      <tp t="s">
        <v>—</v>
        <stp/>
        <stp>##V3_BDHV12</stp>
        <stp>XOM US Equity</stp>
        <stp>CHG_PCT_PERIOD</stp>
        <stp>FQ4 2001</stp>
        <stp>FQ4 2001</stp>
        <stp>[FA1_ivyerigx.xlsx]Stock Value!R7C16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6"/>
      </tp>
      <tp>
        <v>14.2027</v>
        <stp/>
        <stp>##V3_BDHV12</stp>
        <stp>XOM US Equity</stp>
        <stp>CHG_PCT_PERIOD</stp>
        <stp>FQ4 2006</stp>
        <stp>FQ4 2006</stp>
        <stp>[FA1_ivyerigx.xlsx]Stock Value!R7C36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6"/>
      </tp>
      <tp>
        <v>41</v>
        <stp/>
        <stp>##V3_BDHV12</stp>
        <stp>XOM US Equity</stp>
        <stp>IS_NET_INTEREST_EXPENSE</stp>
        <stp>FQ3 2003</stp>
        <stp>FQ3 2003</stp>
        <stp>[FA1_ivyerigx.xlsx]Income - Adjusted!R13C23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3" s="2"/>
      </tp>
      <tp>
        <v>126</v>
        <stp/>
        <stp>##V3_BDHV12</stp>
        <stp>XOM US Equity</stp>
        <stp>IS_NET_INTEREST_EXPENSE</stp>
        <stp>FQ2 2000</stp>
        <stp>FQ2 2000</stp>
        <stp>[FA1_ivyerigx.xlsx]Income - Adjusted!R13C10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3" s="2"/>
      </tp>
      <tp>
        <v>103</v>
        <stp/>
        <stp>##V3_BDHV12</stp>
        <stp>XOM US Equity</stp>
        <stp>IS_NET_INTEREST_EXPENSE</stp>
        <stp>FQ1 2007</stp>
        <stp>FQ1 2007</stp>
        <stp>[FA1_ivyerigx.xlsx]Income - Adjusted!R13C37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3" s="2"/>
      </tp>
      <tp>
        <v>101</v>
        <stp/>
        <stp>##V3_BDHV12</stp>
        <stp>XOM US Equity</stp>
        <stp>IS_NET_INTEREST_EXPENSE</stp>
        <stp>FQ4 2006</stp>
        <stp>FQ4 2006</stp>
        <stp>[FA1_ivyerigx.xlsx]Income - Adjusted!R13C36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3" s="2"/>
      </tp>
      <tp>
        <v>6.7805</v>
        <stp/>
        <stp>##V3_BDHV12</stp>
        <stp>XOM US Equity</stp>
        <stp>CHG_PCT_PERIOD</stp>
        <stp>FQ2 2004</stp>
        <stp>FQ2 2004</stp>
        <stp>[FA1_ivyerigx.xlsx]Stock Value!R7C26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6"/>
      </tp>
      <tp>
        <v>6241</v>
        <stp/>
        <stp>##V3_BDHV12</stp>
        <stp>XOM US Equity</stp>
        <stp>IS_AVG_NUM_SH_FOR_EPS</stp>
        <stp>FQ3 2005</stp>
        <stp>FQ3 2005</stp>
        <stp>[FA1_ivyerigx.xlsx]Income - Adjusted!R33C31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3" s="2"/>
      </tp>
      <tp>
        <v>6852</v>
        <stp/>
        <stp>##V3_BDHV12</stp>
        <stp>XOM US Equity</stp>
        <stp>IS_AVG_NUM_SH_FOR_EPS</stp>
        <stp>FQ3 2001</stp>
        <stp>FQ3 2001</stp>
        <stp>[FA1_ivyerigx.xlsx]Income - Adjusted!R33C15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3" s="2"/>
      </tp>
      <tp>
        <v>4.5486000000000004</v>
        <stp/>
        <stp>##V3_BDHV12</stp>
        <stp>XOM US Equity</stp>
        <stp>NET_DEBT_TO_SHRHLDR_EQTY</stp>
        <stp>FQ4 2002</stp>
        <stp>FQ4 2002</stp>
        <stp>[FA1_ivyerigx.xlsx]Bal Sheet - Standardized!R61C20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61" s="3"/>
      </tp>
      <tp>
        <v>8.5960999999999999</v>
        <stp/>
        <stp>##V3_BDHV12</stp>
        <stp>XOM US Equity</stp>
        <stp>NET_DEBT_TO_SHRHLDR_EQTY</stp>
        <stp>FQ4 2000</stp>
        <stp>FQ4 2000</stp>
        <stp>[FA1_ivyerigx.xlsx]Bal Sheet - Standardized!R61C12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61" s="3"/>
      </tp>
      <tp>
        <v>1052</v>
        <stp/>
        <stp>##V3_BDHV12</stp>
        <stp>XOM US Equity</stp>
        <stp>BS_NUM_OF_TSY_SH</stp>
        <stp>FQ2 2000</stp>
        <stp>FQ2 2000</stp>
        <stp>[FA1_ivyerigx.xlsx]Bal Sheet - Standardized!R54C10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4" s="3"/>
      </tp>
      <tp>
        <v>1068</v>
        <stp/>
        <stp>##V3_BDHV12</stp>
        <stp>XOM US Equity</stp>
        <stp>BS_NUM_OF_TSY_SH</stp>
        <stp>FQ3 2000</stp>
        <stp>FQ3 2000</stp>
        <stp>[FA1_ivyerigx.xlsx]Bal Sheet - Standardized!R54C11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4" s="3"/>
      </tp>
      <tp>
        <v>-264</v>
        <stp/>
        <stp>##V3_BDHV12</stp>
        <stp>XOM US Equity</stp>
        <stp>PROC_FR_REPAYMNTS_BOR_DETAILED</stp>
        <stp>FQ4 2006</stp>
        <stp>FQ4 2006</stp>
        <stp>[FA1_ivyerigx.xlsx]Cash Flow - Standardized!R29C36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9" s="4"/>
      </tp>
      <tp>
        <v>240</v>
        <stp/>
        <stp>##V3_BDHV12</stp>
        <stp>XOM US Equity</stp>
        <stp>OTHER_NON_CASH_ADJ_LESS_DETAILED</stp>
        <stp>FQ2 2002</stp>
        <stp>FQ2 2002</stp>
        <stp>[FA1_ivyerigx.xlsx]Cash Flow - Standardized!R11C18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1" s="4"/>
      </tp>
      <tp>
        <v>228315</v>
        <stp/>
        <stp>##V3_BDHV12</stp>
        <stp>XOM US Equity</stp>
        <stp>TOT_LIAB_AND_EQY</stp>
        <stp>FQ2 2007</stp>
        <stp>FQ2 2007</stp>
        <stp>[FA1_ivyerigx.xlsx]Bal Sheet - Standardized!R49C38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9" s="3"/>
      </tp>
      <tp>
        <v>0</v>
        <stp/>
        <stp>##V3_BDHV12</stp>
        <stp>XOM US Equity</stp>
        <stp>BS_PFD_EQTY_&amp;_HYBRID_CPTL</stp>
        <stp>FQ3 2002</stp>
        <stp>FQ3 2002</stp>
        <stp>[FA1_ivyerigx.xlsx]Bal Sheet - Standardized!R41C19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1" s="3"/>
      </tp>
      <tp>
        <v>-994</v>
        <stp/>
        <stp>##V3_BDHV12</stp>
        <stp>XOM US Equity</stp>
        <stp>OTHER_NON_CASH_ADJ_LESS_DETAILED</stp>
        <stp>FQ1 2005</stp>
        <stp>FQ1 2005</stp>
        <stp>[FA1_ivyerigx.xlsx]Cash Flow - Standardized!R11C29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1" s="4"/>
      </tp>
      <tp>
        <v>-487</v>
        <stp/>
        <stp>##V3_BDHV12</stp>
        <stp>XOM US Equity</stp>
        <stp>PROC_FR_REPAYMNTS_BOR_DETAILED</stp>
        <stp>FQ4 2005</stp>
        <stp>FQ4 2005</stp>
        <stp>[FA1_ivyerigx.xlsx]Cash Flow - Standardized!R29C32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9" s="4"/>
      </tp>
      <tp>
        <v>0.83650000000000002</v>
        <stp/>
        <stp>##V3_BDHV12</stp>
        <stp>XOM US Equity</stp>
        <stp>FREE_CASH_FLOW_PER_SH</stp>
        <stp>FQ2 2005</stp>
        <stp>FQ2 2005</stp>
        <stp>[FA1_ivyerigx.xlsx]Per Share!R23C30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3" s="5"/>
      </tp>
      <tp>
        <v>0.46100000000000002</v>
        <stp/>
        <stp>##V3_BDHV12</stp>
        <stp>XOM US Equity</stp>
        <stp>FREE_CASH_FLOW_PER_SH</stp>
        <stp>FQ2 2001</stp>
        <stp>FQ2 2001</stp>
        <stp>[FA1_ivyerigx.xlsx]Per Share!R23C14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3" s="5"/>
      </tp>
      <tp>
        <v>1.7965</v>
        <stp/>
        <stp>##V3_BDHV12</stp>
        <stp>XOM US Equity</stp>
        <stp>FREE_CASH_FLOW_PER_SH</stp>
        <stp>FQ1 2006</stp>
        <stp>FQ1 2006</stp>
        <stp>[FA1_ivyerigx.xlsx]Per Share!R23C33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3" s="5"/>
      </tp>
      <tp>
        <v>0.3236</v>
        <stp/>
        <stp>##V3_BDHV12</stp>
        <stp>XOM US Equity</stp>
        <stp>FREE_CASH_FLOW_PER_SH</stp>
        <stp>FQ1 2002</stp>
        <stp>FQ1 2002</stp>
        <stp>[FA1_ivyerigx.xlsx]Per Share!R23C17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3" s="5"/>
      </tp>
      <tp>
        <v>201816</v>
        <stp/>
        <stp>##V3_BDHV12</stp>
        <stp>XOM US Equity</stp>
        <stp>TOT_LIAB_AND_EQY</stp>
        <stp>FQ2 2005</stp>
        <stp>FQ2 2005</stp>
        <stp>[FA1_ivyerigx.xlsx]Bal Sheet - Standardized!R49C30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9" s="3"/>
      </tp>
      <tp>
        <v>-48</v>
        <stp/>
        <stp>##V3_BDHV12</stp>
        <stp>XOM US Equity</stp>
        <stp>OTHER_NON_CASH_ADJ_LESS_DETAILED</stp>
        <stp>FQ1 2004</stp>
        <stp>FQ1 2004</stp>
        <stp>[FA1_ivyerigx.xlsx]Cash Flow - Standardized!R11C25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1" s="4"/>
      </tp>
      <tp t="s">
        <v>—</v>
        <stp/>
        <stp>##V3_BDHV12</stp>
        <stp>XOM US Equity</stp>
        <stp>BS_PFD_EQTY_&amp;_HYBRID_CPTL</stp>
        <stp>FQ3 2000</stp>
        <stp>FQ3 2000</stp>
        <stp>[FA1_ivyerigx.xlsx]Bal Sheet - Standardized!R41C11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1" s="3"/>
      </tp>
      <tp>
        <v>-2504</v>
        <stp/>
        <stp>##V3_BDHV12</stp>
        <stp>XOM US Equity</stp>
        <stp>OTHER_NON_CASH_ADJ_LESS_DETAILED</stp>
        <stp>FQ1 2003</stp>
        <stp>FQ1 2003</stp>
        <stp>[FA1_ivyerigx.xlsx]Cash Flow - Standardized!R11C21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1" s="4"/>
      </tp>
      <tp>
        <v>0</v>
        <stp/>
        <stp>##V3_BDHV12</stp>
        <stp>XOM US Equity</stp>
        <stp>BS_PFD_EQTY_&amp;_HYBRID_CPTL</stp>
        <stp>FQ1 2007</stp>
        <stp>FQ1 2007</stp>
        <stp>[FA1_ivyerigx.xlsx]Bal Sheet - Standardized!R41C37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1" s="3"/>
      </tp>
      <tp>
        <v>-899</v>
        <stp/>
        <stp>##V3_BDHV12</stp>
        <stp>XOM US Equity</stp>
        <stp>OTHER_NON_CASH_ADJ_LESS_DETAILED</stp>
        <stp>FQ2 2000</stp>
        <stp>FQ2 2000</stp>
        <stp>[FA1_ivyerigx.xlsx]Cash Flow - Standardized!R11C10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1" s="4"/>
      </tp>
      <tp>
        <v>0</v>
        <stp/>
        <stp>##V3_BDHV12</stp>
        <stp>XOM US Equity</stp>
        <stp>BS_PFD_EQTY_&amp;_HYBRID_CPTL</stp>
        <stp>FQ3 2001</stp>
        <stp>FQ3 2001</stp>
        <stp>[FA1_ivyerigx.xlsx]Bal Sheet - Standardized!R41C15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1" s="3"/>
      </tp>
      <tp>
        <v>166987</v>
        <stp/>
        <stp>##V3_BDHV12</stp>
        <stp>XOM US Equity</stp>
        <stp>TOT_LIAB_AND_EQY</stp>
        <stp>FQ3 2003</stp>
        <stp>FQ3 2003</stp>
        <stp>[FA1_ivyerigx.xlsx]Bal Sheet - Standardized!R49C23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9" s="3"/>
      </tp>
      <tp>
        <v>187433</v>
        <stp/>
        <stp>##V3_BDHV12</stp>
        <stp>XOM US Equity</stp>
        <stp>TOT_LIAB_AND_EQY</stp>
        <stp>FQ3 2004</stp>
        <stp>FQ3 2004</stp>
        <stp>[FA1_ivyerigx.xlsx]Bal Sheet - Standardized!R49C27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9" s="3"/>
      </tp>
      <tp>
        <v>221010</v>
        <stp/>
        <stp>##V3_BDHV12</stp>
        <stp>XOM US Equity</stp>
        <stp>TOT_LIAB_AND_EQY</stp>
        <stp>FQ2 2006</stp>
        <stp>FQ2 2006</stp>
        <stp>[FA1_ivyerigx.xlsx]Bal Sheet - Standardized!R49C34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9" s="3"/>
      </tp>
      <tp>
        <v>-394</v>
        <stp/>
        <stp>##V3_BDHV12</stp>
        <stp>XOM US Equity</stp>
        <stp>OTHER_NON_CASH_ADJ_LESS_DETAILED</stp>
        <stp>FQ2 2001</stp>
        <stp>FQ2 2001</stp>
        <stp>[FA1_ivyerigx.xlsx]Cash Flow - Standardized!R11C14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1" s="4"/>
      </tp>
      <tp t="s">
        <v>—</v>
        <stp/>
        <stp>##V3_BDHV12</stp>
        <stp>XOM US Equity</stp>
        <stp>BS_PFD_EQTY_&amp;_HYBRID_CPTL</stp>
        <stp>FQ1 2006</stp>
        <stp>FQ1 2006</stp>
        <stp>[FA1_ivyerigx.xlsx]Bal Sheet - Standardized!R41C33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1" s="3"/>
      </tp>
      <tp>
        <v>0</v>
        <stp/>
        <stp>##V3_BDHV12</stp>
        <stp>XOM US Equity</stp>
        <stp>CF_INCR_INVEST</stp>
        <stp>FQ3 2003</stp>
        <stp>FQ3 2003</stp>
        <stp>[FA1_ivyerigx.xlsx]Cash Flow - Standardized!R23C23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3" s="4"/>
      </tp>
      <tp>
        <v>0</v>
        <stp/>
        <stp>##V3_BDHV12</stp>
        <stp>XOM US Equity</stp>
        <stp>CF_DECR_INVEST</stp>
        <stp>FQ3 2003</stp>
        <stp>FQ3 2003</stp>
        <stp>[FA1_ivyerigx.xlsx]Cash Flow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4"/>
      </tp>
      <tp>
        <v>0</v>
        <stp/>
        <stp>##V3_BDHV12</stp>
        <stp>XOM US Equity</stp>
        <stp>CF_INCR_INVEST</stp>
        <stp>FQ2 2006</stp>
        <stp>FQ2 2006</stp>
        <stp>[FA1_ivyerigx.xlsx]Cash Flow - Standardized!R23C34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3" s="4"/>
      </tp>
      <tp>
        <v>0</v>
        <stp/>
        <stp>##V3_BDHV12</stp>
        <stp>XOM US Equity</stp>
        <stp>CF_INCR_INVEST</stp>
        <stp>FQ3 2004</stp>
        <stp>FQ3 2004</stp>
        <stp>[FA1_ivyerigx.xlsx]Cash Flow - Standardized!R23C27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3" s="4"/>
      </tp>
      <tp>
        <v>0</v>
        <stp/>
        <stp>##V3_BDHV12</stp>
        <stp>XOM US Equity</stp>
        <stp>CF_DECR_INVEST</stp>
        <stp>FQ2 2006</stp>
        <stp>FQ2 2006</stp>
        <stp>[FA1_ivyerigx.xlsx]Cash Flow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4"/>
      </tp>
      <tp>
        <v>0</v>
        <stp/>
        <stp>##V3_BDHV12</stp>
        <stp>XOM US Equity</stp>
        <stp>CF_DECR_INVEST</stp>
        <stp>FQ3 2004</stp>
        <stp>FQ3 2004</stp>
        <stp>[FA1_ivyerigx.xlsx]Cash Flow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4"/>
      </tp>
      <tp>
        <v>65</v>
        <stp/>
        <stp>##V3_BDHV12</stp>
        <stp>XOM US Equity</stp>
        <stp>PX_HIGH</stp>
        <stp>FQ2 2006</stp>
        <stp>FQ2 2006</stp>
        <stp>[FA1_ivyerigx.xlsx]Stock Value!R9C34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9" s="6"/>
      </tp>
      <tp>
        <v>45.835000000000001</v>
        <stp/>
        <stp>##V3_BDHV12</stp>
        <stp>XOM US Equity</stp>
        <stp>PX_HIGH</stp>
        <stp>FQ2 2001</stp>
        <stp>FQ2 2001</stp>
        <stp>[FA1_ivyerigx.xlsx]Stock Value!R9C14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9" s="6"/>
      </tp>
      <tp t="s">
        <v>—</v>
        <stp/>
        <stp>##V3_BDHV12</stp>
        <stp>XOM US Equity</stp>
        <stp>CF_DEF_INC_TAX</stp>
        <stp>FQ4 2000</stp>
        <stp>FQ4 2000</stp>
        <stp>[FA1_ivyerigx.xlsx]Cash Flow - Standardized!R10C12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0" s="4"/>
      </tp>
      <tp>
        <v>67.290000000000006</v>
        <stp/>
        <stp>##V3_BDHV12</stp>
        <stp>XOM US Equity</stp>
        <stp>PX_OPEN</stp>
        <stp>FQ4 2006</stp>
        <stp>FQ4 2006</stp>
        <stp>[FA1_ivyerigx.xlsx]Stock Value!R8C36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6"/>
      </tp>
      <tp>
        <v>39.25</v>
        <stp/>
        <stp>##V3_BDHV12</stp>
        <stp>XOM US Equity</stp>
        <stp>PX_OPEN</stp>
        <stp>FQ4 2001</stp>
        <stp>FQ4 2001</stp>
        <stp>[FA1_ivyerigx.xlsx]Stock Value!R8C16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6"/>
      </tp>
      <tp>
        <v>41.13</v>
        <stp/>
        <stp>##V3_BDHV12</stp>
        <stp>XOM US Equity</stp>
        <stp>PX_HIGH</stp>
        <stp>FQ4 2003</stp>
        <stp>FQ4 2003</stp>
        <stp>[FA1_ivyerigx.xlsx]Stock Value!R9C24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9" s="6"/>
      </tp>
      <tp>
        <v>0</v>
        <stp/>
        <stp>##V3_BDHV12</stp>
        <stp>XOM US Equity</stp>
        <stp>CF_INCR_INVEST</stp>
        <stp>FQ2 2005</stp>
        <stp>FQ2 2005</stp>
        <stp>[FA1_ivyerigx.xlsx]Cash Flow - Standardized!R23C30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3" s="4"/>
      </tp>
      <tp>
        <v>0</v>
        <stp/>
        <stp>##V3_BDHV12</stp>
        <stp>XOM US Equity</stp>
        <stp>CF_DECR_INVEST</stp>
        <stp>FQ2 2005</stp>
        <stp>FQ2 2005</stp>
        <stp>[FA1_ivyerigx.xlsx]Cash Flow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4"/>
      </tp>
      <tp>
        <v>41.9</v>
        <stp/>
        <stp>##V3_BDHV12</stp>
        <stp>XOM US Equity</stp>
        <stp>PX_OPEN</stp>
        <stp>FQ2 2004</stp>
        <stp>FQ2 2004</stp>
        <stp>[FA1_ivyerigx.xlsx]Stock Value!R8C26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6"/>
      </tp>
      <tp t="s">
        <v>—</v>
        <stp/>
        <stp>##V3_BDHV12</stp>
        <stp>XOM US Equity</stp>
        <stp>CF_DEF_INC_TAX</stp>
        <stp>FQ4 2001</stp>
        <stp>FQ4 2001</stp>
        <stp>[FA1_ivyerigx.xlsx]Cash Flow - Standardized!R10C16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0" s="4"/>
      </tp>
      <tp>
        <v>0.56000000000000005</v>
        <stp/>
        <stp>##V3_BDHV12</stp>
        <stp>XOM US Equity</stp>
        <stp>IS_BASIC_EPS_CONT_OPS</stp>
        <stp>FQ4 2002</stp>
        <stp>FQ4 2002</stp>
        <stp>[FA1_ivyerigx.xlsx]Per Share!R16C20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6" s="5"/>
      </tp>
      <tp>
        <v>0.745</v>
        <stp/>
        <stp>##V3_BDHV12</stp>
        <stp>XOM US Equity</stp>
        <stp>IS_BASIC_EPS_CONT_OPS</stp>
        <stp>FQ4 2000</stp>
        <stp>FQ4 2000</stp>
        <stp>[FA1_ivyerigx.xlsx]Per Share!R16C12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6" s="5"/>
      </tp>
      <tp>
        <v>0.89</v>
        <stp/>
        <stp>##V3_BDHV12</stp>
        <stp>XOM US Equity</stp>
        <stp>IS_BASIC_EPS_CONT_OPS</stp>
        <stp>FQ2 2004</stp>
        <stp>FQ2 2004</stp>
        <stp>[FA1_ivyerigx.xlsx]Per Share!R16C26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6" s="5"/>
      </tp>
      <tp>
        <v>1.74</v>
        <stp/>
        <stp>##V3_BDHV12</stp>
        <stp>XOM US Equity</stp>
        <stp>IS_BASIC_EPS_CONT_OPS</stp>
        <stp>FQ2 2006</stp>
        <stp>FQ2 2006</stp>
        <stp>[FA1_ivyerigx.xlsx]Per Share!R16C34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6" s="5"/>
      </tp>
      <tp>
        <v>0.71699999999999997</v>
        <stp/>
        <stp>##V3_BDHV12</stp>
        <stp>XOM US Equity</stp>
        <stp>IS_BASIC_EPS_CONT_OPS</stp>
        <stp>FQ1 2003</stp>
        <stp>FQ1 2003</stp>
        <stp>[FA1_ivyerigx.xlsx]Per Share!R16C21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6" s="5"/>
      </tp>
      <tp>
        <v>0.72</v>
        <stp/>
        <stp>##V3_BDHV12</stp>
        <stp>XOM US Equity</stp>
        <stp>IS_BASIC_EPS_CONT_OPS</stp>
        <stp>FQ1 2001</stp>
        <stp>FQ1 2001</stp>
        <stp>[FA1_ivyerigx.xlsx]Per Share!R16C13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6" s="5"/>
      </tp>
      <tp t="s">
        <v>—</v>
        <stp/>
        <stp>##V3_BDHV12</stp>
        <stp>XOM US Equity</stp>
        <stp>CF_DEF_INC_TAX</stp>
        <stp>FQ1 2008</stp>
        <stp>FQ1 2008</stp>
        <stp>[FA1_ivyerigx.xlsx]Cash Flow - Standardized!R10C41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0" s="4"/>
      </tp>
      <tp>
        <v>0</v>
        <stp/>
        <stp>##V3_BDHV12</stp>
        <stp>XOM US Equity</stp>
        <stp>CF_INCR_INVEST</stp>
        <stp>FQ2 2007</stp>
        <stp>FQ2 2007</stp>
        <stp>[FA1_ivyerigx.xlsx]Cash Flow - Standardized!R23C38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3" s="4"/>
      </tp>
      <tp>
        <v>0</v>
        <stp/>
        <stp>##V3_BDHV12</stp>
        <stp>XOM US Equity</stp>
        <stp>CF_DECR_INVEST</stp>
        <stp>FQ2 2007</stp>
        <stp>FQ2 2007</stp>
        <stp>[FA1_ivyerigx.xlsx]Cash Flow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4"/>
      </tp>
      <tp>
        <v>-1879</v>
        <stp/>
        <stp>##V3_BDHV12</stp>
        <stp>XOM US Equity</stp>
        <stp>CF_DVD_PAID</stp>
        <stp>FQ1 2008</stp>
        <stp>FQ1 2008</stp>
        <stp>[FA1_ivyerigx.xlsx]Cash Flow - Standardized!R28C41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8" s="4"/>
      </tp>
      <tp>
        <v>0.28999999999999998</v>
        <stp/>
        <stp>##V3_BDHV12</stp>
        <stp>XOM US Equity</stp>
        <stp>IS_EPS</stp>
        <stp>FQ3 1998</stp>
        <stp>FQ3 1998</stp>
        <stp>[FA1_ivyerigx.xlsx]Income - Adjusted!R34C3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34" s="2"/>
      </tp>
      <tp>
        <v>0.315</v>
        <stp/>
        <stp>##V3_BDHV12</stp>
        <stp>XOM US Equity</stp>
        <stp>IS_EPS</stp>
        <stp>FQ4 1998</stp>
        <stp>FQ4 1998</stp>
        <stp>[FA1_ivyerigx.xlsx]Income - Adjusted!R34C4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34" s="2"/>
      </tp>
      <tp>
        <v>13910</v>
        <stp/>
        <stp>##V3_BDHV12</stp>
        <stp>XOM US Equity</stp>
        <stp>EBITA</stp>
        <stp>FQ3 2007</stp>
        <stp>FQ3 2007</stp>
        <stp>[FA1_ivyerigx.xlsx]Income - Adjusted!R47C39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7" s="2"/>
      </tp>
      <tp>
        <v>-1571</v>
        <stp/>
        <stp>##V3_BDHV12</stp>
        <stp>XOM US Equity</stp>
        <stp>CF_DVD_PAID</stp>
        <stp>FQ4 2001</stp>
        <stp>FQ4 2001</stp>
        <stp>[FA1_ivyerigx.xlsx]Cash Flow - Standardized!R28C16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8" s="4"/>
      </tp>
      <tp>
        <v>-1527</v>
        <stp/>
        <stp>##V3_BDHV12</stp>
        <stp>XOM US Equity</stp>
        <stp>CF_DVD_PAID</stp>
        <stp>FQ4 2000</stp>
        <stp>FQ4 2000</stp>
        <stp>[FA1_ivyerigx.xlsx]Cash Flow - Standardized!R28C12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8" s="4"/>
      </tp>
      <tp>
        <v>0.20499999999999999</v>
        <stp/>
        <stp>##V3_BDHV12</stp>
        <stp>XOM US Equity</stp>
        <stp>EQY_DPS</stp>
        <stp>FQ2 1999</stp>
        <stp>FQ2 1999</stp>
        <stp>[FA1_ivyerigx.xlsx]Income - Adjusted!R53C6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3" s="2"/>
      </tp>
      <tp>
        <v>0.20499999999999999</v>
        <stp/>
        <stp>##V3_BDHV12</stp>
        <stp>XOM US Equity</stp>
        <stp>EQY_DPS</stp>
        <stp>FQ3 1999</stp>
        <stp>FQ3 1999</stp>
        <stp>[FA1_ivyerigx.xlsx]Income - Adjusted!R53C7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3" s="2"/>
      </tp>
      <tp>
        <v>0.20499999999999999</v>
        <stp/>
        <stp>##V3_BDHV12</stp>
        <stp>XOM US Equity</stp>
        <stp>EQY_DPS</stp>
        <stp>FQ1 1999</stp>
        <stp>FQ1 1999</stp>
        <stp>[FA1_ivyerigx.xlsx]Income - Adjusted!R53C5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3" s="2"/>
      </tp>
      <tp>
        <v>108</v>
        <stp/>
        <stp>##V3_BDHV12</stp>
        <stp>XOM US Equity</stp>
        <stp>IS_NET_INTEREST_EXPENSE</stp>
        <stp>FQ3 2000</stp>
        <stp>FQ3 2000</stp>
        <stp>[FA1_ivyerigx.xlsx]Income - Adjusted!R13C11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3" s="2"/>
      </tp>
      <tp>
        <v>70</v>
        <stp/>
        <stp>##V3_BDHV12</stp>
        <stp>XOM US Equity</stp>
        <stp>IS_NET_INTEREST_EXPENSE</stp>
        <stp>FQ2 2003</stp>
        <stp>FQ2 2003</stp>
        <stp>[FA1_ivyerigx.xlsx]Income - Adjusted!R13C22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3" s="2"/>
      </tp>
      <tp>
        <v>48</v>
        <stp/>
        <stp>##V3_BDHV12</stp>
        <stp>XOM US Equity</stp>
        <stp>IS_NET_INTEREST_EXPENSE</stp>
        <stp>FQ1 2004</stp>
        <stp>FQ1 2004</stp>
        <stp>[FA1_ivyerigx.xlsx]Income - Adjusted!R13C25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3" s="2"/>
      </tp>
      <tp>
        <v>-1.5399</v>
        <stp/>
        <stp>##V3_BDHV12</stp>
        <stp>XOM US Equity</stp>
        <stp>CHG_PCT_PERIOD</stp>
        <stp>FQ1 2007</stp>
        <stp>FQ1 2007</stp>
        <stp>[FA1_ivyerigx.xlsx]Stock Value!R7C37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6"/>
      </tp>
      <tp>
        <v>11.5267</v>
        <stp/>
        <stp>##V3_BDHV12</stp>
        <stp>XOM US Equity</stp>
        <stp>CHG_PCT_PERIOD</stp>
        <stp>FQ1 2002</stp>
        <stp>FQ1 2002</stp>
        <stp>[FA1_ivyerigx.xlsx]Stock Value!R7C17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6"/>
      </tp>
      <tp>
        <v>8.8268000000000004</v>
        <stp/>
        <stp>##V3_BDHV12</stp>
        <stp>XOM US Equity</stp>
        <stp>CHG_PCT_PERIOD</stp>
        <stp>FQ3 2004</stp>
        <stp>FQ3 2004</stp>
        <stp>[FA1_ivyerigx.xlsx]Stock Value!R7C27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6"/>
      </tp>
      <tp>
        <v>6310</v>
        <stp/>
        <stp>##V3_BDHV12</stp>
        <stp>XOM US Equity</stp>
        <stp>IS_AVG_NUM_SH_FOR_EPS</stp>
        <stp>FQ2 2005</stp>
        <stp>FQ2 2005</stp>
        <stp>[FA1_ivyerigx.xlsx]Income - Adjusted!R33C30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3" s="2"/>
      </tp>
      <tp>
        <v>6883</v>
        <stp/>
        <stp>##V3_BDHV12</stp>
        <stp>XOM US Equity</stp>
        <stp>IS_AVG_NUM_SH_FOR_EPS</stp>
        <stp>FQ2 2001</stp>
        <stp>FQ2 2001</stp>
        <stp>[FA1_ivyerigx.xlsx]Income - Adjusted!R33C14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3" s="2"/>
      </tp>
      <tp>
        <v>6068</v>
        <stp/>
        <stp>##V3_BDHV12</stp>
        <stp>XOM US Equity</stp>
        <stp>IS_AVG_NUM_SH_FOR_EPS</stp>
        <stp>FQ1 2006</stp>
        <stp>FQ1 2006</stp>
        <stp>[FA1_ivyerigx.xlsx]Income - Adjusted!R33C33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3" s="2"/>
      </tp>
      <tp>
        <v>6793</v>
        <stp/>
        <stp>##V3_BDHV12</stp>
        <stp>XOM US Equity</stp>
        <stp>IS_AVG_NUM_SH_FOR_EPS</stp>
        <stp>FQ1 2002</stp>
        <stp>FQ1 2002</stp>
        <stp>[FA1_ivyerigx.xlsx]Income - Adjusted!R33C17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3" s="2"/>
      </tp>
      <tp>
        <v>0.35</v>
        <stp/>
        <stp>##V3_BDHV12</stp>
        <stp>XOM US Equity</stp>
        <stp>EQY_DPS</stp>
        <stp>FQ1 2008</stp>
        <stp>FQ1 2008</stp>
        <stp>[FA1_ivyerigx.xlsx]Per Share!R20C41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0" s="5"/>
      </tp>
      <tp>
        <v>-15.834300000000001</v>
        <stp/>
        <stp>##V3_BDHV12</stp>
        <stp>XOM US Equity</stp>
        <stp>NET_DEBT_TO_SHRHLDR_EQTY</stp>
        <stp>FQ2 2005</stp>
        <stp>FQ2 2005</stp>
        <stp>[FA1_ivyerigx.xlsx]Bal Sheet - Standardized!R61C30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61" s="3"/>
      </tp>
      <tp>
        <v>-19.263100000000001</v>
        <stp/>
        <stp>##V3_BDHV12</stp>
        <stp>XOM US Equity</stp>
        <stp>NET_DEBT_TO_SHRHLDR_EQTY</stp>
        <stp>FQ3 2005</stp>
        <stp>FQ3 2005</stp>
        <stp>[FA1_ivyerigx.xlsx]Bal Sheet - Standardized!R61C31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61" s="3"/>
      </tp>
      <tp>
        <v>2.5775999999999999</v>
        <stp/>
        <stp>##V3_BDHV12</stp>
        <stp>XOM US Equity</stp>
        <stp>NET_DEBT_TO_SHRHLDR_EQTY</stp>
        <stp>FQ2 2001</stp>
        <stp>FQ2 2001</stp>
        <stp>[FA1_ivyerigx.xlsx]Bal Sheet - Standardized!R61C14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61" s="3"/>
      </tp>
      <tp>
        <v>2.8540000000000001</v>
        <stp/>
        <stp>##V3_BDHV12</stp>
        <stp>XOM US Equity</stp>
        <stp>NET_DEBT_TO_SHRHLDR_EQTY</stp>
        <stp>FQ3 2001</stp>
        <stp>FQ3 2001</stp>
        <stp>[FA1_ivyerigx.xlsx]Bal Sheet - Standardized!R61C15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61" s="3"/>
      </tp>
      <tp>
        <v>1886</v>
        <stp/>
        <stp>##V3_BDHV12</stp>
        <stp>XOM US Equity</stp>
        <stp>BS_NUM_OF_TSY_SH</stp>
        <stp>FQ4 2005</stp>
        <stp>FQ4 2005</stp>
        <stp>[FA1_ivyerigx.xlsx]Bal Sheet - Standardized!R54C32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4" s="3"/>
      </tp>
      <tp>
        <v>2637</v>
        <stp/>
        <stp>##V3_BDHV12</stp>
        <stp>XOM US Equity</stp>
        <stp>BS_NUM_OF_TSY_SH</stp>
        <stp>FQ4 2007</stp>
        <stp>FQ4 2007</stp>
        <stp>[FA1_ivyerigx.xlsx]Bal Sheet - Standardized!R54C40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4" s="3"/>
      </tp>
      <tp>
        <v>1120</v>
        <stp/>
        <stp>##V3_BDHV12</stp>
        <stp>XOM US Equity</stp>
        <stp>BS_NUM_OF_TSY_SH</stp>
        <stp>FQ1 2001</stp>
        <stp>FQ1 2001</stp>
        <stp>[FA1_ivyerigx.xlsx]Bal Sheet - Standardized!R54C13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4" s="3"/>
      </tp>
      <tp>
        <v>1210</v>
        <stp/>
        <stp>##V3_BDHV12</stp>
        <stp>XOM US Equity</stp>
        <stp>BS_NUM_OF_TSY_SH</stp>
        <stp>FQ4 2001</stp>
        <stp>FQ4 2001</stp>
        <stp>[FA1_ivyerigx.xlsx]Bal Sheet - Standardized!R54C16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4" s="3"/>
      </tp>
      <tp>
        <v>1340</v>
        <stp/>
        <stp>##V3_BDHV12</stp>
        <stp>XOM US Equity</stp>
        <stp>BS_NUM_OF_TSY_SH</stp>
        <stp>FQ1 2003</stp>
        <stp>FQ1 2003</stp>
        <stp>[FA1_ivyerigx.xlsx]Bal Sheet - Standardized!R54C21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4" s="3"/>
      </tp>
      <tp>
        <v>1410</v>
        <stp/>
        <stp>##V3_BDHV12</stp>
        <stp>XOM US Equity</stp>
        <stp>BS_NUM_OF_TSY_SH</stp>
        <stp>FQ3 2003</stp>
        <stp>FQ3 2003</stp>
        <stp>[FA1_ivyerigx.xlsx]Bal Sheet - Standardized!R54C23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4" s="3"/>
      </tp>
      <tp>
        <v>1367</v>
        <stp/>
        <stp>##V3_BDHV12</stp>
        <stp>XOM US Equity</stp>
        <stp>BS_NUM_OF_TSY_SH</stp>
        <stp>FQ2 2003</stp>
        <stp>FQ2 2003</stp>
        <stp>[FA1_ivyerigx.xlsx]Bal Sheet - Standardized!R54C22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4" s="3"/>
      </tp>
      <tp>
        <v>1451</v>
        <stp/>
        <stp>##V3_BDHV12</stp>
        <stp>XOM US Equity</stp>
        <stp>BS_NUM_OF_TSY_SH</stp>
        <stp>FQ4 2003</stp>
        <stp>FQ4 2003</stp>
        <stp>[FA1_ivyerigx.xlsx]Bal Sheet - Standardized!R54C24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4" s="3"/>
      </tp>
      <tp>
        <v>845</v>
        <stp/>
        <stp>##V3_BDHV12</stp>
        <stp>XOM US Equity</stp>
        <stp>OTHER_NON_CASH_ADJ_LESS_DETAILED</stp>
        <stp>FQ3 2007</stp>
        <stp>FQ3 2007</stp>
        <stp>[FA1_ivyerigx.xlsx]Cash Flow - Standardized!R11C39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1" s="4"/>
      </tp>
      <tp>
        <v>149473</v>
        <stp/>
        <stp>##V3_BDHV12</stp>
        <stp>XOM US Equity</stp>
        <stp>TOT_LIAB_AND_EQY</stp>
        <stp>FQ3 2002</stp>
        <stp>FQ3 2002</stp>
        <stp>[FA1_ivyerigx.xlsx]Bal Sheet - Standardized!R49C19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9" s="3"/>
      </tp>
      <tp>
        <v>0</v>
        <stp/>
        <stp>##V3_BDHV12</stp>
        <stp>XOM US Equity</stp>
        <stp>BS_PFD_EQTY_&amp;_HYBRID_CPTL</stp>
        <stp>FQ2 2007</stp>
        <stp>FQ2 2007</stp>
        <stp>[FA1_ivyerigx.xlsx]Bal Sheet - Standardized!R41C38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1" s="3"/>
      </tp>
      <tp>
        <v>0</v>
        <stp/>
        <stp>##V3_BDHV12</stp>
        <stp>XOM US Equity</stp>
        <stp>BS_PFD_EQTY_&amp;_HYBRID_CPTL</stp>
        <stp>FQ3 2003</stp>
        <stp>FQ3 2003</stp>
        <stp>[FA1_ivyerigx.xlsx]Bal Sheet - Standardized!R41C23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1" s="3"/>
      </tp>
      <tp>
        <v>147904</v>
        <stp/>
        <stp>##V3_BDHV12</stp>
        <stp>XOM US Equity</stp>
        <stp>TOT_LIAB_AND_EQY</stp>
        <stp>FQ3 2001</stp>
        <stp>FQ3 2001</stp>
        <stp>[FA1_ivyerigx.xlsx]Bal Sheet - Standardized!R49C15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9" s="3"/>
      </tp>
      <tp>
        <v>-138</v>
        <stp/>
        <stp>##V3_BDHV12</stp>
        <stp>XOM US Equity</stp>
        <stp>OTHER_NON_CASH_ADJ_LESS_DETAILED</stp>
        <stp>FQ2 2004</stp>
        <stp>FQ2 2004</stp>
        <stp>[FA1_ivyerigx.xlsx]Cash Flow - Standardized!R11C26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1" s="4"/>
      </tp>
      <tp>
        <v>-1557</v>
        <stp/>
        <stp>##V3_BDHV12</stp>
        <stp>XOM US Equity</stp>
        <stp>OTHER_NON_CASH_ADJ_LESS_DETAILED</stp>
        <stp>FQ3 2006</stp>
        <stp>FQ3 2006</stp>
        <stp>[FA1_ivyerigx.xlsx]Cash Flow - Standardized!R11C35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1" s="4"/>
      </tp>
      <tp>
        <v>216002</v>
        <stp/>
        <stp>##V3_BDHV12</stp>
        <stp>XOM US Equity</stp>
        <stp>TOT_LIAB_AND_EQY</stp>
        <stp>FQ1 2006</stp>
        <stp>FQ1 2006</stp>
        <stp>[FA1_ivyerigx.xlsx]Bal Sheet - Standardized!R49C33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9" s="3"/>
      </tp>
      <tp>
        <v>75</v>
        <stp/>
        <stp>##V3_BDHV12</stp>
        <stp>XOM US Equity</stp>
        <stp>OTHER_NON_CASH_ADJ_LESS_DETAILED</stp>
        <stp>FQ1 2001</stp>
        <stp>FQ1 2001</stp>
        <stp>[FA1_ivyerigx.xlsx]Cash Flow - Standardized!R11C13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1" s="4"/>
      </tp>
      <tp>
        <v>468</v>
        <stp/>
        <stp>##V3_BDHV12</stp>
        <stp>XOM US Equity</stp>
        <stp>OTHER_NON_CASH_ADJ_LESS_DETAILED</stp>
        <stp>FQ2 2003</stp>
        <stp>FQ2 2003</stp>
        <stp>[FA1_ivyerigx.xlsx]Cash Flow - Standardized!R11C22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1" s="4"/>
      </tp>
      <tp>
        <v>-3460</v>
        <stp/>
        <stp>##V3_BDHV12</stp>
        <stp>XOM US Equity</stp>
        <stp>OTHER_NON_CASH_ADJ_LESS_DETAILED</stp>
        <stp>FQ4 2007</stp>
        <stp>FQ4 2007</stp>
        <stp>[FA1_ivyerigx.xlsx]Cash Flow - Standardized!R11C40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1" s="4"/>
      </tp>
      <tp>
        <v>0</v>
        <stp/>
        <stp>##V3_BDHV12</stp>
        <stp>XOM US Equity</stp>
        <stp>BS_PFD_EQTY_&amp;_HYBRID_CPTL</stp>
        <stp>FQ3 2004</stp>
        <stp>FQ3 2004</stp>
        <stp>[FA1_ivyerigx.xlsx]Bal Sheet - Standardized!R41C27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1" s="3"/>
      </tp>
      <tp t="s">
        <v>—</v>
        <stp/>
        <stp>##V3_BDHV12</stp>
        <stp>XOM US Equity</stp>
        <stp>BS_PFD_EQTY_&amp;_HYBRID_CPTL</stp>
        <stp>FQ2 2006</stp>
        <stp>FQ2 2006</stp>
        <stp>[FA1_ivyerigx.xlsx]Bal Sheet - Standardized!R41C34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1" s="3"/>
      </tp>
      <tp>
        <v>148252</v>
        <stp/>
        <stp>##V3_BDHV12</stp>
        <stp>XOM US Equity</stp>
        <stp>TOT_LIAB_AND_EQY</stp>
        <stp>FQ3 2000</stp>
        <stp>FQ3 2000</stp>
        <stp>[FA1_ivyerigx.xlsx]Bal Sheet - Standardized!R49C11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9" s="3"/>
      </tp>
      <tp>
        <v>0</v>
        <stp/>
        <stp>##V3_BDHV12</stp>
        <stp>XOM US Equity</stp>
        <stp>BS_PFD_EQTY_&amp;_HYBRID_CPTL</stp>
        <stp>FQ2 2005</stp>
        <stp>FQ2 2005</stp>
        <stp>[FA1_ivyerigx.xlsx]Bal Sheet - Standardized!R41C30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1" s="3"/>
      </tp>
      <tp>
        <v>-358</v>
        <stp/>
        <stp>##V3_BDHV12</stp>
        <stp>XOM US Equity</stp>
        <stp>OTHER_NON_CASH_ADJ_LESS_DETAILED</stp>
        <stp>FQ1 2002</stp>
        <stp>FQ1 2002</stp>
        <stp>[FA1_ivyerigx.xlsx]Cash Flow - Standardized!R11C17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1" s="4"/>
      </tp>
      <tp>
        <v>-319</v>
        <stp/>
        <stp>##V3_BDHV12</stp>
        <stp>XOM US Equity</stp>
        <stp>OTHER_NON_CASH_ADJ_LESS_DETAILED</stp>
        <stp>FQ3 2005</stp>
        <stp>FQ3 2005</stp>
        <stp>[FA1_ivyerigx.xlsx]Cash Flow - Standardized!R11C31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1" s="4"/>
      </tp>
      <tp>
        <v>223299</v>
        <stp/>
        <stp>##V3_BDHV12</stp>
        <stp>XOM US Equity</stp>
        <stp>TOT_LIAB_AND_EQY</stp>
        <stp>FQ1 2007</stp>
        <stp>FQ1 2007</stp>
        <stp>[FA1_ivyerigx.xlsx]Bal Sheet - Standardized!R49C37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9" s="3"/>
      </tp>
      <tp>
        <v>0</v>
        <stp/>
        <stp>##V3_BDHV12</stp>
        <stp>XOM US Equity</stp>
        <stp>CF_INCR_INVEST</stp>
        <stp>FQ3 2000</stp>
        <stp>FQ3 2000</stp>
        <stp>[FA1_ivyerigx.xlsx]Cash Flow - Standardized!R23C11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3" s="4"/>
      </tp>
      <tp>
        <v>0</v>
        <stp/>
        <stp>##V3_BDHV12</stp>
        <stp>XOM US Equity</stp>
        <stp>CF_DECR_INVEST</stp>
        <stp>FQ3 2000</stp>
        <stp>FQ3 2000</stp>
        <stp>[FA1_ivyerigx.xlsx]Cash Flow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4"/>
      </tp>
      <tp>
        <v>76.349999999999994</v>
        <stp/>
        <stp>##V3_BDHV12</stp>
        <stp>XOM US Equity</stp>
        <stp>PX_HIGH</stp>
        <stp>FQ1 2007</stp>
        <stp>FQ1 2007</stp>
        <stp>[FA1_ivyerigx.xlsx]Stock Value!R9C37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9" s="6"/>
      </tp>
      <tp>
        <v>44.29</v>
        <stp/>
        <stp>##V3_BDHV12</stp>
        <stp>XOM US Equity</stp>
        <stp>PX_HIGH</stp>
        <stp>FQ1 2002</stp>
        <stp>FQ1 2002</stp>
        <stp>[FA1_ivyerigx.xlsx]Stock Value!R9C17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9" s="6"/>
      </tp>
      <tp>
        <v>0</v>
        <stp/>
        <stp>##V3_BDHV12</stp>
        <stp>XOM US Equity</stp>
        <stp>CF_INCR_INVEST</stp>
        <stp>FQ1 2007</stp>
        <stp>FQ1 2007</stp>
        <stp>[FA1_ivyerigx.xlsx]Cash Flow - Standardized!R23C37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3" s="4"/>
      </tp>
      <tp>
        <v>0</v>
        <stp/>
        <stp>##V3_BDHV12</stp>
        <stp>XOM US Equity</stp>
        <stp>CF_DECR_INVEST</stp>
        <stp>FQ1 2007</stp>
        <stp>FQ1 2007</stp>
        <stp>[FA1_ivyerigx.xlsx]Cash Flow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4"/>
      </tp>
      <tp t="s">
        <v>—</v>
        <stp/>
        <stp>##V3_BDHV12</stp>
        <stp>XOM US Equity</stp>
        <stp>CF_DEF_INC_TAX</stp>
        <stp>FQ4 2002</stp>
        <stp>FQ4 2002</stp>
        <stp>[FA1_ivyerigx.xlsx]Cash Flow - Standardized!R10C20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0" s="4"/>
      </tp>
      <tp>
        <v>49.79</v>
        <stp/>
        <stp>##V3_BDHV12</stp>
        <stp>XOM US Equity</stp>
        <stp>PX_HIGH</stp>
        <stp>FQ3 2004</stp>
        <stp>FQ3 2004</stp>
        <stp>[FA1_ivyerigx.xlsx]Stock Value!R9C27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9" s="6"/>
      </tp>
      <tp>
        <v>44.125</v>
        <stp/>
        <stp>##V3_BDHV12</stp>
        <stp>XOM US Equity</stp>
        <stp>PX_OPEN</stp>
        <stp>FQ3 2001</stp>
        <stp>FQ3 2001</stp>
        <stp>[FA1_ivyerigx.xlsx]Stock Value!R8C15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6"/>
      </tp>
      <tp>
        <v>61.8</v>
        <stp/>
        <stp>##V3_BDHV12</stp>
        <stp>XOM US Equity</stp>
        <stp>PX_OPEN</stp>
        <stp>FQ3 2006</stp>
        <stp>FQ3 2006</stp>
        <stp>[FA1_ivyerigx.xlsx]Stock Value!R8C35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6"/>
      </tp>
      <tp>
        <v>0</v>
        <stp/>
        <stp>##V3_BDHV12</stp>
        <stp>XOM US Equity</stp>
        <stp>CF_INCR_INVEST</stp>
        <stp>FQ3 2001</stp>
        <stp>FQ3 2001</stp>
        <stp>[FA1_ivyerigx.xlsx]Cash Flow - Standardized!R23C15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3" s="4"/>
      </tp>
      <tp>
        <v>0</v>
        <stp/>
        <stp>##V3_BDHV12</stp>
        <stp>XOM US Equity</stp>
        <stp>CF_DECR_INVEST</stp>
        <stp>FQ3 2001</stp>
        <stp>FQ3 2001</stp>
        <stp>[FA1_ivyerigx.xlsx]Cash Flow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4"/>
      </tp>
      <tp>
        <v>0</v>
        <stp/>
        <stp>##V3_BDHV12</stp>
        <stp>XOM US Equity</stp>
        <stp>CF_INCR_INVEST</stp>
        <stp>FQ1 2006</stp>
        <stp>FQ1 2006</stp>
        <stp>[FA1_ivyerigx.xlsx]Cash Flow - Standardized!R23C33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3" s="4"/>
      </tp>
      <tp>
        <v>0</v>
        <stp/>
        <stp>##V3_BDHV12</stp>
        <stp>XOM US Equity</stp>
        <stp>CF_DECR_INVEST</stp>
        <stp>FQ1 2006</stp>
        <stp>FQ1 2006</stp>
        <stp>[FA1_ivyerigx.xlsx]Cash Flow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4"/>
      </tp>
      <tp t="s">
        <v>—</v>
        <stp/>
        <stp>##V3_BDHV12</stp>
        <stp>XOM US Equity</stp>
        <stp>CF_DEF_INC_TAX</stp>
        <stp>FQ4 2003</stp>
        <stp>FQ4 2003</stp>
        <stp>[FA1_ivyerigx.xlsx]Cash Flow - Standardized!R10C24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0" s="4"/>
      </tp>
      <tp>
        <v>0.63</v>
        <stp/>
        <stp>##V3_BDHV12</stp>
        <stp>XOM US Equity</stp>
        <stp>IS_BASIC_EPS_CONT_OPS</stp>
        <stp>FQ2 2003</stp>
        <stp>FQ2 2003</stp>
        <stp>[FA1_ivyerigx.xlsx]Per Share!R16C22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6" s="5"/>
      </tp>
      <tp>
        <v>0.6</v>
        <stp/>
        <stp>##V3_BDHV12</stp>
        <stp>XOM US Equity</stp>
        <stp>IS_BASIC_EPS_CONT_OPS</stp>
        <stp>FQ3 2000</stp>
        <stp>FQ3 2000</stp>
        <stp>[FA1_ivyerigx.xlsx]Per Share!R16C11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6" s="5"/>
      </tp>
      <tp>
        <v>0.83</v>
        <stp/>
        <stp>##V3_BDHV12</stp>
        <stp>XOM US Equity</stp>
        <stp>IS_BASIC_EPS_CONT_OPS</stp>
        <stp>FQ1 2004</stp>
        <stp>FQ1 2004</stp>
        <stp>[FA1_ivyerigx.xlsx]Per Share!R16C25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6" s="5"/>
      </tp>
      <tp>
        <v>41.02</v>
        <stp/>
        <stp>##V3_BDHV12</stp>
        <stp>XOM US Equity</stp>
        <stp>PX_OPEN</stp>
        <stp>FQ1 2004</stp>
        <stp>FQ1 2004</stp>
        <stp>[FA1_ivyerigx.xlsx]Stock Value!R8C25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6"/>
      </tp>
      <tp t="s">
        <v>—</v>
        <stp/>
        <stp>##V3_BDHV12</stp>
        <stp>XOM US Equity</stp>
        <stp>IS_EXPORT_SALES</stp>
        <stp>FQ3 1998</stp>
        <stp>FQ3 1998</stp>
        <stp>[FA1_ivyerigx.xlsx]Income - Adjusted!R55C3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5" s="2"/>
      </tp>
      <tp>
        <v>0</v>
        <stp/>
        <stp>##V3_BDHV12</stp>
        <stp>XOM US Equity</stp>
        <stp>CF_INCR_INVEST</stp>
        <stp>FQ3 2002</stp>
        <stp>FQ3 2002</stp>
        <stp>[FA1_ivyerigx.xlsx]Cash Flow - Standardized!R23C19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3" s="4"/>
      </tp>
      <tp>
        <v>0</v>
        <stp/>
        <stp>##V3_BDHV12</stp>
        <stp>XOM US Equity</stp>
        <stp>CF_DECR_INVEST</stp>
        <stp>FQ3 2002</stp>
        <stp>FQ3 2002</stp>
        <stp>[FA1_ivyerigx.xlsx]Cash Flow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4"/>
      </tp>
      <tp t="s">
        <v>—</v>
        <stp/>
        <stp>##V3_BDHV12</stp>
        <stp>XOM US Equity</stp>
        <stp>CF_DEF_INC_TAX</stp>
        <stp>FQ2 2008</stp>
        <stp>FQ2 2008</stp>
        <stp>[FA1_ivyerigx.xlsx]Cash Flow - Standardized!R10C42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0" s="4"/>
      </tp>
      <tp t="s">
        <v>—</v>
        <stp/>
        <stp>##V3_BDHV12</stp>
        <stp>XOM US Equity</stp>
        <stp>CF_DEF_INC_TAX</stp>
        <stp>FQ4 2004</stp>
        <stp>FQ4 2004</stp>
        <stp>[FA1_ivyerigx.xlsx]Cash Flow - Standardized!R10C28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0" s="4"/>
      </tp>
      <tp>
        <v>0</v>
        <stp/>
        <stp>##V3_BDHV12</stp>
        <stp>XOM US Equity</stp>
        <stp>IS_EXPORT_SALES</stp>
        <stp>FQ3 1999</stp>
        <stp>FQ3 1999</stp>
        <stp>[FA1_ivyerigx.xlsx]Income - Adjusted!R55C7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5" s="2"/>
      </tp>
      <tp>
        <v>-1738</v>
        <stp/>
        <stp>##V3_BDHV12</stp>
        <stp>XOM US Equity</stp>
        <stp>CF_DVD_PAID</stp>
        <stp>FQ4 2004</stp>
        <stp>FQ4 2004</stp>
        <stp>[FA1_ivyerigx.xlsx]Cash Flow - Standardized!R28C28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8" s="4"/>
      </tp>
      <tp>
        <v>-2098</v>
        <stp/>
        <stp>##V3_BDHV12</stp>
        <stp>XOM US Equity</stp>
        <stp>CF_DVD_PAID</stp>
        <stp>FQ2 2008</stp>
        <stp>FQ2 2008</stp>
        <stp>[FA1_ivyerigx.xlsx]Cash Flow - Standardized!R28C42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8" s="4"/>
      </tp>
      <tp>
        <v>-1649</v>
        <stp/>
        <stp>##V3_BDHV12</stp>
        <stp>XOM US Equity</stp>
        <stp>CF_DVD_PAID</stp>
        <stp>FQ4 2003</stp>
        <stp>FQ4 2003</stp>
        <stp>[FA1_ivyerigx.xlsx]Cash Flow - Standardized!R28C24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8" s="4"/>
      </tp>
      <tp>
        <v>-1545</v>
        <stp/>
        <stp>##V3_BDHV12</stp>
        <stp>XOM US Equity</stp>
        <stp>CF_DVD_PAID</stp>
        <stp>FQ4 2002</stp>
        <stp>FQ4 2002</stp>
        <stp>[FA1_ivyerigx.xlsx]Cash Flow - Standardized!R28C20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8" s="4"/>
      </tp>
      <tp>
        <v>2730</v>
        <stp/>
        <stp>##V3_BDHV12</stp>
        <stp>XOM US Equity</stp>
        <stp>IS_SG&amp;A_EXPENSE</stp>
        <stp>FQ3 2002</stp>
        <stp>FQ3 2002</stp>
        <stp>[FA1_ivyerigx.xlsx]Income - Adjusted!R11C19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1" s="2"/>
      </tp>
      <tp>
        <v>7640</v>
        <stp/>
        <stp>##V3_BDHV12</stp>
        <stp>XOM US Equity</stp>
        <stp>EARN_FOR_COMMON</stp>
        <stp>FQ2 2005</stp>
        <stp>FQ2 2005</stp>
        <stp>[FA1_ivyerigx.xlsx]Income - Adjusted!R29C30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29" s="2"/>
      </tp>
      <tp>
        <v>4460</v>
        <stp/>
        <stp>##V3_BDHV12</stp>
        <stp>XOM US Equity</stp>
        <stp>EARN_FOR_COMMON</stp>
        <stp>FQ2 2001</stp>
        <stp>FQ2 2001</stp>
        <stp>[FA1_ivyerigx.xlsx]Income - Adjusted!R29C14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29" s="2"/>
      </tp>
      <tp>
        <v>8400</v>
        <stp/>
        <stp>##V3_BDHV12</stp>
        <stp>XOM US Equity</stp>
        <stp>EARN_FOR_COMMON</stp>
        <stp>FQ1 2006</stp>
        <stp>FQ1 2006</stp>
        <stp>[FA1_ivyerigx.xlsx]Income - Adjusted!R29C33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29" s="2"/>
      </tp>
      <tp>
        <v>2090</v>
        <stp/>
        <stp>##V3_BDHV12</stp>
        <stp>XOM US Equity</stp>
        <stp>EARN_FOR_COMMON</stp>
        <stp>FQ1 2002</stp>
        <stp>FQ1 2002</stp>
        <stp>[FA1_ivyerigx.xlsx]Income - Adjusted!R29C17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29" s="2"/>
      </tp>
      <tp>
        <v>12.0219</v>
        <stp/>
        <stp>##V3_BDHV12</stp>
        <stp>XOM US Equity</stp>
        <stp>CHG_PCT_PERIOD</stp>
        <stp>FQ4 2003</stp>
        <stp>FQ4 2003</stp>
        <stp>[FA1_ivyerigx.xlsx]Stock Value!R7C24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6"/>
      </tp>
      <tp>
        <v>107</v>
        <stp/>
        <stp>##V3_BDHV12</stp>
        <stp>XOM US Equity</stp>
        <stp>IS_NET_INTEREST_EXPENSE</stp>
        <stp>FQ2 2006</stp>
        <stp>FQ2 2006</stp>
        <stp>[FA1_ivyerigx.xlsx]Income - Adjusted!R13C34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3" s="2"/>
      </tp>
      <tp>
        <v>50</v>
        <stp/>
        <stp>##V3_BDHV12</stp>
        <stp>XOM US Equity</stp>
        <stp>IS_NET_INTEREST_EXPENSE</stp>
        <stp>FQ2 2004</stp>
        <stp>FQ2 2004</stp>
        <stp>[FA1_ivyerigx.xlsx]Income - Adjusted!R13C26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3" s="2"/>
      </tp>
      <tp>
        <v>77</v>
        <stp/>
        <stp>##V3_BDHV12</stp>
        <stp>XOM US Equity</stp>
        <stp>IS_NET_INTEREST_EXPENSE</stp>
        <stp>FQ1 2001</stp>
        <stp>FQ1 2001</stp>
        <stp>[FA1_ivyerigx.xlsx]Income - Adjusted!R13C13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3" s="2"/>
      </tp>
      <tp>
        <v>42</v>
        <stp/>
        <stp>##V3_BDHV12</stp>
        <stp>XOM US Equity</stp>
        <stp>IS_NET_INTEREST_EXPENSE</stp>
        <stp>FQ1 2003</stp>
        <stp>FQ1 2003</stp>
        <stp>[FA1_ivyerigx.xlsx]Income - Adjusted!R13C21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3" s="2"/>
      </tp>
      <tp>
        <v>181</v>
        <stp/>
        <stp>##V3_BDHV12</stp>
        <stp>XOM US Equity</stp>
        <stp>IS_NET_INTEREST_EXPENSE</stp>
        <stp>FQ4 2000</stp>
        <stp>FQ4 2000</stp>
        <stp>[FA1_ivyerigx.xlsx]Income - Adjusted!R13C12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3" s="2"/>
      </tp>
      <tp t="s">
        <v>—</v>
        <stp/>
        <stp>##V3_BDHV12</stp>
        <stp>XOM US Equity</stp>
        <stp>IS_NET_INTEREST_EXPENSE</stp>
        <stp>FQ4 2002</stp>
        <stp>FQ4 2002</stp>
        <stp>[FA1_ivyerigx.xlsx]Income - Adjusted!R13C20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3" s="2"/>
      </tp>
      <tp>
        <v>0.80510000000000004</v>
        <stp/>
        <stp>##V3_BDHV12</stp>
        <stp>XOM US Equity</stp>
        <stp>CHG_PCT_PERIOD</stp>
        <stp>FQ2 2006</stp>
        <stp>FQ2 2006</stp>
        <stp>[FA1_ivyerigx.xlsx]Stock Value!R7C34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6"/>
      </tp>
      <tp>
        <v>7.8395000000000001</v>
        <stp/>
        <stp>##V3_BDHV12</stp>
        <stp>XOM US Equity</stp>
        <stp>CHG_PCT_PERIOD</stp>
        <stp>FQ2 2001</stp>
        <stp>FQ2 2001</stp>
        <stp>[FA1_ivyerigx.xlsx]Stock Value!R7C14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6"/>
      </tp>
      <tp>
        <v>0.4</v>
        <stp/>
        <stp>##V3_BDHV12</stp>
        <stp>XOM US Equity</stp>
        <stp>EQY_DPS</stp>
        <stp>FQ2 2008</stp>
        <stp>FQ2 2008</stp>
        <stp>[FA1_ivyerigx.xlsx]Per Share!R20C42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0" s="5"/>
      </tp>
      <tp>
        <v>0.23</v>
        <stp/>
        <stp>##V3_BDHV12</stp>
        <stp>XOM US Equity</stp>
        <stp>EQY_DPS</stp>
        <stp>FQ2 2002</stp>
        <stp>FQ2 2002</stp>
        <stp>[FA1_ivyerigx.xlsx]Per Share!R20C18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0" s="5"/>
      </tp>
      <tp>
        <v>-21.296800000000001</v>
        <stp/>
        <stp>##V3_BDHV12</stp>
        <stp>XOM US Equity</stp>
        <stp>NET_DEBT_TO_SHRHLDR_EQTY</stp>
        <stp>FQ1 2006</stp>
        <stp>FQ1 2006</stp>
        <stp>[FA1_ivyerigx.xlsx]Bal Sheet - Standardized!R61C33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61" s="3"/>
      </tp>
      <tp>
        <v>-16.912299999999998</v>
        <stp/>
        <stp>##V3_BDHV12</stp>
        <stp>XOM US Equity</stp>
        <stp>NET_DEBT_TO_SHRHLDR_EQTY</stp>
        <stp>FQ4 2006</stp>
        <stp>FQ4 2006</stp>
        <stp>[FA1_ivyerigx.xlsx]Bal Sheet - Standardized!R61C36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61" s="3"/>
      </tp>
      <tp>
        <v>5.3768000000000002</v>
        <stp/>
        <stp>##V3_BDHV12</stp>
        <stp>XOM US Equity</stp>
        <stp>NET_DEBT_TO_SHRHLDR_EQTY</stp>
        <stp>FQ1 2002</stp>
        <stp>FQ1 2002</stp>
        <stp>[FA1_ivyerigx.xlsx]Bal Sheet - Standardized!R61C17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61" s="3"/>
      </tp>
      <tp>
        <v>1479</v>
        <stp/>
        <stp>##V3_BDHV12</stp>
        <stp>XOM US Equity</stp>
        <stp>BS_NUM_OF_TSY_SH</stp>
        <stp>FQ1 2004</stp>
        <stp>FQ1 2004</stp>
        <stp>[FA1_ivyerigx.xlsx]Bal Sheet - Standardized!R54C25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4" s="3"/>
      </tp>
      <tp>
        <v>1568</v>
        <stp/>
        <stp>##V3_BDHV12</stp>
        <stp>XOM US Equity</stp>
        <stp>BS_NUM_OF_TSY_SH</stp>
        <stp>FQ3 2004</stp>
        <stp>FQ3 2004</stp>
        <stp>[FA1_ivyerigx.xlsx]Bal Sheet - Standardized!R54C27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4" s="3"/>
      </tp>
      <tp>
        <v>1513</v>
        <stp/>
        <stp>##V3_BDHV12</stp>
        <stp>XOM US Equity</stp>
        <stp>BS_NUM_OF_TSY_SH</stp>
        <stp>FQ2 2004</stp>
        <stp>FQ2 2004</stp>
        <stp>[FA1_ivyerigx.xlsx]Bal Sheet - Standardized!R54C26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4" s="3"/>
      </tp>
      <tp>
        <v>2074</v>
        <stp/>
        <stp>##V3_BDHV12</stp>
        <stp>XOM US Equity</stp>
        <stp>BS_NUM_OF_TSY_SH</stp>
        <stp>FQ2 2006</stp>
        <stp>FQ2 2006</stp>
        <stp>[FA1_ivyerigx.xlsx]Bal Sheet - Standardized!R54C34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4" s="3"/>
      </tp>
      <tp>
        <v>2187</v>
        <stp/>
        <stp>##V3_BDHV12</stp>
        <stp>XOM US Equity</stp>
        <stp>BS_NUM_OF_TSY_SH</stp>
        <stp>FQ3 2006</stp>
        <stp>FQ3 2006</stp>
        <stp>[FA1_ivyerigx.xlsx]Bal Sheet - Standardized!R54C35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4" s="3"/>
      </tp>
      <tp>
        <v>201252</v>
        <stp/>
        <stp>##V3_BDHV12</stp>
        <stp>XOM US Equity</stp>
        <stp>TOT_LIAB_AND_EQY</stp>
        <stp>FQ1 2005</stp>
        <stp>FQ1 2005</stp>
        <stp>[FA1_ivyerigx.xlsx]Bal Sheet - Standardized!R49C29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9" s="3"/>
      </tp>
      <tp>
        <v>-1388</v>
        <stp/>
        <stp>##V3_BDHV12</stp>
        <stp>XOM US Equity</stp>
        <stp>PROC_FR_REPAYMNTS_BOR_DETAILED</stp>
        <stp>FQ4 2000</stp>
        <stp>FQ4 2000</stp>
        <stp>[FA1_ivyerigx.xlsx]Cash Flow - Standardized!R29C12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9" s="4"/>
      </tp>
      <tp>
        <v>273</v>
        <stp/>
        <stp>##V3_BDHV12</stp>
        <stp>XOM US Equity</stp>
        <stp>OTHER_NON_CASH_ADJ_LESS_DETAILED</stp>
        <stp>FQ2 2007</stp>
        <stp>FQ2 2007</stp>
        <stp>[FA1_ivyerigx.xlsx]Cash Flow - Standardized!R11C38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1" s="4"/>
      </tp>
      <tp>
        <v>148232</v>
        <stp/>
        <stp>##V3_BDHV12</stp>
        <stp>XOM US Equity</stp>
        <stp>TOT_LIAB_AND_EQY</stp>
        <stp>FQ2 2002</stp>
        <stp>FQ2 2002</stp>
        <stp>[FA1_ivyerigx.xlsx]Bal Sheet - Standardized!R49C18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9" s="3"/>
      </tp>
      <tp>
        <v>-400</v>
        <stp/>
        <stp>##V3_BDHV12</stp>
        <stp>XOM US Equity</stp>
        <stp>PROC_FR_REPAYMNTS_BOR_DETAILED</stp>
        <stp>FQ4 2001</stp>
        <stp>FQ4 2001</stp>
        <stp>[FA1_ivyerigx.xlsx]Cash Flow - Standardized!R29C16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9" s="4"/>
      </tp>
      <tp>
        <v>0</v>
        <stp/>
        <stp>##V3_BDHV12</stp>
        <stp>XOM US Equity</stp>
        <stp>BS_PFD_EQTY_&amp;_HYBRID_CPTL</stp>
        <stp>FQ3 2007</stp>
        <stp>FQ3 2007</stp>
        <stp>[FA1_ivyerigx.xlsx]Bal Sheet - Standardized!R41C39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1" s="3"/>
      </tp>
      <tp>
        <v>1.2493000000000001</v>
        <stp/>
        <stp>##V3_BDHV12</stp>
        <stp>XOM US Equity</stp>
        <stp>FREE_CASH_FLOW_PER_SH</stp>
        <stp>FQ4 2007</stp>
        <stp>FQ4 2007</stp>
        <stp>[FA1_ivyerigx.xlsx]Per Share!R23C40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3" s="5"/>
      </tp>
      <tp>
        <v>3.8699999999999998E-2</v>
        <stp/>
        <stp>##V3_BDHV12</stp>
        <stp>XOM US Equity</stp>
        <stp>FREE_CASH_FLOW_PER_SH</stp>
        <stp>FQ4 2001</stp>
        <stp>FQ4 2001</stp>
        <stp>[FA1_ivyerigx.xlsx]Per Share!R23C16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3" s="5"/>
      </tp>
      <tp>
        <v>0.49320000000000003</v>
        <stp/>
        <stp>##V3_BDHV12</stp>
        <stp>XOM US Equity</stp>
        <stp>FREE_CASH_FLOW_PER_SH</stp>
        <stp>FQ4 2003</stp>
        <stp>FQ4 2003</stp>
        <stp>[FA1_ivyerigx.xlsx]Per Share!R23C24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3" s="5"/>
      </tp>
      <tp>
        <v>1.0426</v>
        <stp/>
        <stp>##V3_BDHV12</stp>
        <stp>XOM US Equity</stp>
        <stp>FREE_CASH_FLOW_PER_SH</stp>
        <stp>FQ4 2005</stp>
        <stp>FQ4 2005</stp>
        <stp>[FA1_ivyerigx.xlsx]Per Share!R23C32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3" s="5"/>
      </tp>
      <tp t="s">
        <v>—</v>
        <stp/>
        <stp>##V3_BDHV12</stp>
        <stp>XOM US Equity</stp>
        <stp>BS_PFD_EQTY_&amp;_HYBRID_CPTL</stp>
        <stp>FQ1 2001</stp>
        <stp>FQ1 2001</stp>
        <stp>[FA1_ivyerigx.xlsx]Bal Sheet - Standardized!R41C13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1" s="3"/>
      </tp>
      <tp>
        <v>0</v>
        <stp/>
        <stp>##V3_BDHV12</stp>
        <stp>XOM US Equity</stp>
        <stp>BS_PFD_EQTY_&amp;_HYBRID_CPTL</stp>
        <stp>FQ2 2003</stp>
        <stp>FQ2 2003</stp>
        <stp>[FA1_ivyerigx.xlsx]Bal Sheet - Standardized!R41C22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1" s="3"/>
      </tp>
      <tp>
        <v>0</v>
        <stp/>
        <stp>##V3_BDHV12</stp>
        <stp>XOM US Equity</stp>
        <stp>BS_PFD_EQTY_&amp;_HYBRID_CPTL</stp>
        <stp>FQ4 2007</stp>
        <stp>FQ4 2007</stp>
        <stp>[FA1_ivyerigx.xlsx]Bal Sheet - Standardized!R41C40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1" s="3"/>
      </tp>
      <tp>
        <v>147660</v>
        <stp/>
        <stp>##V3_BDHV12</stp>
        <stp>XOM US Equity</stp>
        <stp>TOT_LIAB_AND_EQY</stp>
        <stp>FQ2 2001</stp>
        <stp>FQ2 2001</stp>
        <stp>[FA1_ivyerigx.xlsx]Bal Sheet - Standardized!R49C14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9" s="3"/>
      </tp>
      <tp>
        <v>210</v>
        <stp/>
        <stp>##V3_BDHV12</stp>
        <stp>XOM US Equity</stp>
        <stp>OTHER_NON_CASH_ADJ_LESS_DETAILED</stp>
        <stp>FQ3 2004</stp>
        <stp>FQ3 2004</stp>
        <stp>[FA1_ivyerigx.xlsx]Cash Flow - Standardized!R11C27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1" s="4"/>
      </tp>
      <tp>
        <v>431</v>
        <stp/>
        <stp>##V3_BDHV12</stp>
        <stp>XOM US Equity</stp>
        <stp>OTHER_NON_CASH_ADJ_LESS_DETAILED</stp>
        <stp>FQ2 2006</stp>
        <stp>FQ2 2006</stp>
        <stp>[FA1_ivyerigx.xlsx]Cash Flow - Standardized!R11C34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1" s="4"/>
      </tp>
      <tp>
        <v>-2186</v>
        <stp/>
        <stp>##V3_BDHV12</stp>
        <stp>XOM US Equity</stp>
        <stp>OTHER_NON_CASH_ADJ_LESS_DETAILED</stp>
        <stp>FQ3 2003</stp>
        <stp>FQ3 2003</stp>
        <stp>[FA1_ivyerigx.xlsx]Cash Flow - Standardized!R11C23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1" s="4"/>
      </tp>
      <tp>
        <v>0</v>
        <stp/>
        <stp>##V3_BDHV12</stp>
        <stp>XOM US Equity</stp>
        <stp>BS_PFD_EQTY_&amp;_HYBRID_CPTL</stp>
        <stp>FQ2 2004</stp>
        <stp>FQ2 2004</stp>
        <stp>[FA1_ivyerigx.xlsx]Bal Sheet - Standardized!R41C26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1" s="3"/>
      </tp>
      <tp t="s">
        <v>—</v>
        <stp/>
        <stp>##V3_BDHV12</stp>
        <stp>XOM US Equity</stp>
        <stp>BS_PFD_EQTY_&amp;_HYBRID_CPTL</stp>
        <stp>FQ3 2006</stp>
        <stp>FQ3 2006</stp>
        <stp>[FA1_ivyerigx.xlsx]Bal Sheet - Standardized!R41C35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1" s="3"/>
      </tp>
      <tp>
        <v>146618</v>
        <stp/>
        <stp>##V3_BDHV12</stp>
        <stp>XOM US Equity</stp>
        <stp>TOT_LIAB_AND_EQY</stp>
        <stp>FQ2 2000</stp>
        <stp>FQ2 2000</stp>
        <stp>[FA1_ivyerigx.xlsx]Bal Sheet - Standardized!R49C10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9" s="3"/>
      </tp>
      <tp>
        <v>0</v>
        <stp/>
        <stp>##V3_BDHV12</stp>
        <stp>XOM US Equity</stp>
        <stp>BS_PFD_EQTY_&amp;_HYBRID_CPTL</stp>
        <stp>FQ3 2005</stp>
        <stp>FQ3 2005</stp>
        <stp>[FA1_ivyerigx.xlsx]Bal Sheet - Standardized!R41C31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1" s="3"/>
      </tp>
      <tp>
        <v>162495</v>
        <stp/>
        <stp>##V3_BDHV12</stp>
        <stp>XOM US Equity</stp>
        <stp>TOT_LIAB_AND_EQY</stp>
        <stp>FQ1 2003</stp>
        <stp>FQ1 2003</stp>
        <stp>[FA1_ivyerigx.xlsx]Bal Sheet - Standardized!R49C21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9" s="3"/>
      </tp>
      <tp>
        <v>179</v>
        <stp/>
        <stp>##V3_BDHV12</stp>
        <stp>XOM US Equity</stp>
        <stp>PROC_FR_REPAYMNTS_BOR_DETAILED</stp>
        <stp>FQ1 2008</stp>
        <stp>FQ1 2008</stp>
        <stp>[FA1_ivyerigx.xlsx]Cash Flow - Standardized!R29C41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9" s="4"/>
      </tp>
      <tp>
        <v>180202</v>
        <stp/>
        <stp>##V3_BDHV12</stp>
        <stp>XOM US Equity</stp>
        <stp>TOT_LIAB_AND_EQY</stp>
        <stp>FQ1 2004</stp>
        <stp>FQ1 2004</stp>
        <stp>[FA1_ivyerigx.xlsx]Bal Sheet - Standardized!R49C25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9" s="3"/>
      </tp>
      <tp>
        <v>-167</v>
        <stp/>
        <stp>##V3_BDHV12</stp>
        <stp>XOM US Equity</stp>
        <stp>OTHER_NON_CASH_ADJ_LESS_DETAILED</stp>
        <stp>FQ2 2005</stp>
        <stp>FQ2 2005</stp>
        <stp>[FA1_ivyerigx.xlsx]Cash Flow - Standardized!R11C30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1" s="4"/>
      </tp>
      <tp>
        <v>0</v>
        <stp/>
        <stp>##V3_BDHV12</stp>
        <stp>XOM US Equity</stp>
        <stp>BS_PFD_EQTY_&amp;_HYBRID_CPTL</stp>
        <stp>FQ1 2002</stp>
        <stp>FQ1 2002</stp>
        <stp>[FA1_ivyerigx.xlsx]Bal Sheet - Standardized!R41C17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1" s="3"/>
      </tp>
      <tp>
        <v>0</v>
        <stp/>
        <stp>##V3_BDHV12</stp>
        <stp>XOM US Equity</stp>
        <stp>CF_INCR_INVEST</stp>
        <stp>FQ2 2000</stp>
        <stp>FQ2 2000</stp>
        <stp>[FA1_ivyerigx.xlsx]Cash Flow - Standardized!R23C10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3" s="4"/>
      </tp>
      <tp>
        <v>0</v>
        <stp/>
        <stp>##V3_BDHV12</stp>
        <stp>XOM US Equity</stp>
        <stp>CF_DECR_INVEST</stp>
        <stp>FQ2 2000</stp>
        <stp>FQ2 2000</stp>
        <stp>[FA1_ivyerigx.xlsx]Cash Flow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4"/>
      </tp>
      <tp>
        <v>0</v>
        <stp/>
        <stp>##V3_BDHV12</stp>
        <stp>XOM US Equity</stp>
        <stp>CF_INCR_INVEST</stp>
        <stp>FQ1 2003</stp>
        <stp>FQ1 2003</stp>
        <stp>[FA1_ivyerigx.xlsx]Cash Flow - Standardized!R23C21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3" s="4"/>
      </tp>
      <tp>
        <v>0</v>
        <stp/>
        <stp>##V3_BDHV12</stp>
        <stp>XOM US Equity</stp>
        <stp>CF_DECR_INVEST</stp>
        <stp>FQ1 2003</stp>
        <stp>FQ1 2003</stp>
        <stp>[FA1_ivyerigx.xlsx]Cash Flow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4"/>
      </tp>
      <tp>
        <v>1717</v>
        <stp/>
        <stp>##V3_BDHV12</stp>
        <stp>XOM US Equity</stp>
        <stp>CF_DEF_INC_TAX</stp>
        <stp>FQ4 2006</stp>
        <stp>FQ4 2006</stp>
        <stp>[FA1_ivyerigx.xlsx]Cash Flow - Standardized!R10C36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0" s="4"/>
      </tp>
      <tp>
        <v>0</v>
        <stp/>
        <stp>##V3_BDHV12</stp>
        <stp>XOM US Equity</stp>
        <stp>CF_INCR_INVEST</stp>
        <stp>FQ1 2004</stp>
        <stp>FQ1 2004</stp>
        <stp>[FA1_ivyerigx.xlsx]Cash Flow - Standardized!R23C25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3" s="4"/>
      </tp>
      <tp>
        <v>0</v>
        <stp/>
        <stp>##V3_BDHV12</stp>
        <stp>XOM US Equity</stp>
        <stp>CF_DECR_INVEST</stp>
        <stp>FQ1 2004</stp>
        <stp>FQ1 2004</stp>
        <stp>[FA1_ivyerigx.xlsx]Cash Flow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4"/>
      </tp>
      <tp>
        <v>45.53</v>
        <stp/>
        <stp>##V3_BDHV12</stp>
        <stp>XOM US Equity</stp>
        <stp>PX_HIGH</stp>
        <stp>FQ2 2004</stp>
        <stp>FQ2 2004</stp>
        <stp>[FA1_ivyerigx.xlsx]Stock Value!R9C26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9" s="6"/>
      </tp>
      <tp>
        <v>36.92</v>
        <stp/>
        <stp>##V3_BDHV12</stp>
        <stp>XOM US Equity</stp>
        <stp>PX_OPEN</stp>
        <stp>FQ4 2003</stp>
        <stp>FQ4 2003</stp>
        <stp>[FA1_ivyerigx.xlsx]Stock Value!R8C24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6"/>
      </tp>
      <tp>
        <v>4855.5708000000004</v>
        <stp/>
        <stp>##V3_BDHV12</stp>
        <stp>XOM US Equity</stp>
        <stp>BS_SH_OUT</stp>
        <stp>FQ1 1999</stp>
        <stp>FQ1 1999</stp>
        <stp>[FA1_ivyerigx.xlsx]Per Share!R6C5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5"/>
      </tp>
      <tp>
        <v>42.7</v>
        <stp/>
        <stp>##V3_BDHV12</stp>
        <stp>XOM US Equity</stp>
        <stp>PX_HIGH</stp>
        <stp>FQ4 2001</stp>
        <stp>FQ4 2001</stp>
        <stp>[FA1_ivyerigx.xlsx]Stock Value!R9C16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9" s="6"/>
      </tp>
      <tp>
        <v>79</v>
        <stp/>
        <stp>##V3_BDHV12</stp>
        <stp>XOM US Equity</stp>
        <stp>PX_HIGH</stp>
        <stp>FQ4 2006</stp>
        <stp>FQ4 2006</stp>
        <stp>[FA1_ivyerigx.xlsx]Stock Value!R9C36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9" s="6"/>
      </tp>
      <tp>
        <v>0</v>
        <stp/>
        <stp>##V3_BDHV12</stp>
        <stp>XOM US Equity</stp>
        <stp>CF_INCR_INVEST</stp>
        <stp>FQ2 2001</stp>
        <stp>FQ2 2001</stp>
        <stp>[FA1_ivyerigx.xlsx]Cash Flow - Standardized!R23C14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3" s="4"/>
      </tp>
      <tp>
        <v>0</v>
        <stp/>
        <stp>##V3_BDHV12</stp>
        <stp>XOM US Equity</stp>
        <stp>CF_DECR_INVEST</stp>
        <stp>FQ2 2001</stp>
        <stp>FQ2 2001</stp>
        <stp>[FA1_ivyerigx.xlsx]Cash Flow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4"/>
      </tp>
      <tp>
        <v>40.5</v>
        <stp/>
        <stp>##V3_BDHV12</stp>
        <stp>XOM US Equity</stp>
        <stp>PX_OPEN</stp>
        <stp>FQ2 2001</stp>
        <stp>FQ2 2001</stp>
        <stp>[FA1_ivyerigx.xlsx]Stock Value!R8C14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6"/>
      </tp>
      <tp>
        <v>61.36</v>
        <stp/>
        <stp>##V3_BDHV12</stp>
        <stp>XOM US Equity</stp>
        <stp>PX_OPEN</stp>
        <stp>FQ2 2006</stp>
        <stp>FQ2 2006</stp>
        <stp>[FA1_ivyerigx.xlsx]Stock Value!R8C34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6"/>
      </tp>
      <tp>
        <v>4855.57</v>
        <stp/>
        <stp>##V3_BDHV12</stp>
        <stp>XOM US Equity</stp>
        <stp>BS_SH_OUT</stp>
        <stp>FQ3 1999</stp>
        <stp>FQ3 1999</stp>
        <stp>[FA1_ivyerigx.xlsx]Per Share!R6C7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5"/>
      </tp>
      <tp>
        <v>-429</v>
        <stp/>
        <stp>##V3_BDHV12</stp>
        <stp>XOM US Equity</stp>
        <stp>CF_DEF_INC_TAX</stp>
        <stp>FQ4 2005</stp>
        <stp>FQ4 2005</stp>
        <stp>[FA1_ivyerigx.xlsx]Cash Flow - Standardized!R10C32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0" s="4"/>
      </tp>
      <tp>
        <v>1.7</v>
        <stp/>
        <stp>##V3_BDHV12</stp>
        <stp>XOM US Equity</stp>
        <stp>IS_BASIC_EPS_CONT_OPS</stp>
        <stp>FQ4 2006</stp>
        <stp>FQ4 2006</stp>
        <stp>[FA1_ivyerigx.xlsx]Per Share!R16C36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6" s="5"/>
      </tp>
      <tp>
        <v>0.60499999999999998</v>
        <stp/>
        <stp>##V3_BDHV12</stp>
        <stp>XOM US Equity</stp>
        <stp>IS_BASIC_EPS_CONT_OPS</stp>
        <stp>FQ2 2000</stp>
        <stp>FQ2 2000</stp>
        <stp>[FA1_ivyerigx.xlsx]Per Share!R16C10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6" s="5"/>
      </tp>
      <tp>
        <v>0.55000000000000004</v>
        <stp/>
        <stp>##V3_BDHV12</stp>
        <stp>XOM US Equity</stp>
        <stp>IS_BASIC_EPS_CONT_OPS</stp>
        <stp>FQ3 2003</stp>
        <stp>FQ3 2003</stp>
        <stp>[FA1_ivyerigx.xlsx]Per Share!R16C23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6" s="5"/>
      </tp>
      <tp>
        <v>1.6400000000000001</v>
        <stp/>
        <stp>##V3_BDHV12</stp>
        <stp>XOM US Equity</stp>
        <stp>IS_BASIC_EPS_CONT_OPS</stp>
        <stp>FQ1 2007</stp>
        <stp>FQ1 2007</stp>
        <stp>[FA1_ivyerigx.xlsx]Per Share!R16C37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6" s="5"/>
      </tp>
      <tp>
        <v>4856</v>
        <stp/>
        <stp>##V3_BDHV12</stp>
        <stp>XOM US Equity</stp>
        <stp>BS_SH_OUT</stp>
        <stp>FQ2 1999</stp>
        <stp>FQ2 1999</stp>
        <stp>[FA1_ivyerigx.xlsx]Per Share!R6C6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5"/>
      </tp>
      <tp>
        <v>0</v>
        <stp/>
        <stp>##V3_BDHV12</stp>
        <stp>XOM US Equity</stp>
        <stp>CF_INCR_INVEST</stp>
        <stp>FQ2 2002</stp>
        <stp>FQ2 2002</stp>
        <stp>[FA1_ivyerigx.xlsx]Cash Flow - Standardized!R23C18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3" s="4"/>
      </tp>
      <tp>
        <v>0</v>
        <stp/>
        <stp>##V3_BDHV12</stp>
        <stp>XOM US Equity</stp>
        <stp>CF_DECR_INVEST</stp>
        <stp>FQ2 2002</stp>
        <stp>FQ2 2002</stp>
        <stp>[FA1_ivyerigx.xlsx]Cash Flow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4"/>
      </tp>
      <tp>
        <v>0</v>
        <stp/>
        <stp>##V3_BDHV12</stp>
        <stp>XOM US Equity</stp>
        <stp>IS_EXPORT_SALES</stp>
        <stp>FQ2 1999</stp>
        <stp>FQ2 1999</stp>
        <stp>[FA1_ivyerigx.xlsx]Income - Adjusted!R55C6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5" s="2"/>
      </tp>
      <tp>
        <v>0</v>
        <stp/>
        <stp>##V3_BDHV12</stp>
        <stp>XOM US Equity</stp>
        <stp>CF_INCR_INVEST</stp>
        <stp>FQ1 2005</stp>
        <stp>FQ1 2005</stp>
        <stp>[FA1_ivyerigx.xlsx]Cash Flow - Standardized!R23C29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3" s="4"/>
      </tp>
      <tp>
        <v>0</v>
        <stp/>
        <stp>##V3_BDHV12</stp>
        <stp>XOM US Equity</stp>
        <stp>CF_DECR_INVEST</stp>
        <stp>FQ1 2005</stp>
        <stp>FQ1 2005</stp>
        <stp>[FA1_ivyerigx.xlsx]Cash Flow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4"/>
      </tp>
      <tp t="s">
        <v>—</v>
        <stp/>
        <stp>##V3_BDHV12</stp>
        <stp>XOM US Equity</stp>
        <stp>EBITA</stp>
        <stp>FQ4 2004</stp>
        <stp>FQ4 2004</stp>
        <stp>[FA1_ivyerigx.xlsx]Income - Adjusted!R47C28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7" s="2"/>
      </tp>
      <tp t="s">
        <v>—</v>
        <stp/>
        <stp>##V3_BDHV12</stp>
        <stp>XOM US Equity</stp>
        <stp>EBITA</stp>
        <stp>FQ1 2005</stp>
        <stp>FQ1 2005</stp>
        <stp>[FA1_ivyerigx.xlsx]Income - Adjusted!R47C29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7" s="2"/>
      </tp>
      <tp>
        <v>-1795</v>
        <stp/>
        <stp>##V3_BDHV12</stp>
        <stp>XOM US Equity</stp>
        <stp>CF_DVD_PAID</stp>
        <stp>FQ4 2005</stp>
        <stp>FQ4 2005</stp>
        <stp>[FA1_ivyerigx.xlsx]Cash Flow - Standardized!R28C32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8" s="4"/>
      </tp>
      <tp>
        <v>-1853</v>
        <stp/>
        <stp>##V3_BDHV12</stp>
        <stp>XOM US Equity</stp>
        <stp>CF_DVD_PAID</stp>
        <stp>FQ4 2006</stp>
        <stp>FQ4 2006</stp>
        <stp>[FA1_ivyerigx.xlsx]Cash Flow - Standardized!R28C36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8" s="4"/>
      </tp>
      <tp>
        <v>4389</v>
        <stp/>
        <stp>##V3_BDHV12</stp>
        <stp>XOM US Equity</stp>
        <stp>IS_SG&amp;A_EXPENSE</stp>
        <stp>FQ2 2008</stp>
        <stp>FQ2 2008</stp>
        <stp>[FA1_ivyerigx.xlsx]Income - Adjusted!R11C42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1" s="2"/>
      </tp>
      <tp>
        <v>3310</v>
        <stp/>
        <stp>##V3_BDHV12</stp>
        <stp>XOM US Equity</stp>
        <stp>IS_SG&amp;A_EXPENSE</stp>
        <stp>FQ2 2002</stp>
        <stp>FQ2 2002</stp>
        <stp>[FA1_ivyerigx.xlsx]Income - Adjusted!R11C18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1" s="2"/>
      </tp>
      <tp>
        <v>7362</v>
        <stp/>
        <stp>##V3_BDHV12</stp>
        <stp>XOM US Equity</stp>
        <stp>EBITDA</stp>
        <stp>FQ1 2000</stp>
        <stp>FQ1 2000</stp>
        <stp>[FA1_ivyerigx.xlsx]Cash Flow - Standardized!R42C9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42" s="4"/>
      </tp>
      <tp>
        <v>621</v>
        <stp/>
        <stp>##V3_BDHV12</stp>
        <stp>XOM US Equity</stp>
        <stp>INC_DEC_IN_OT_OP_AST_LIAB_DETAIL</stp>
        <stp>FQ3 1998</stp>
        <stp>FQ3 1998</stp>
        <stp>[FA1_ivyerigx.xlsx]Cash Flow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4"/>
      </tp>
      <tp>
        <v>-957</v>
        <stp/>
        <stp>##V3_BDHV12</stp>
        <stp>XOM US Equity</stp>
        <stp>INC_DEC_IN_OT_OP_AST_LIAB_DETAIL</stp>
        <stp>FQ4 1998</stp>
        <stp>FQ4 1998</stp>
        <stp>[FA1_ivyerigx.xlsx]Cash Flow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4"/>
      </tp>
      <tp>
        <v>-62</v>
        <stp/>
        <stp>##V3_BDHV12</stp>
        <stp>XOM US Equity</stp>
        <stp>INC_DEC_IN_OT_OP_AST_LIAB_DETAIL</stp>
        <stp>FQ2 1999</stp>
        <stp>FQ2 1999</stp>
        <stp>[FA1_ivyerigx.xlsx]Cash Flow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4"/>
      </tp>
      <tp>
        <v>-9</v>
        <stp/>
        <stp>##V3_BDHV12</stp>
        <stp>XOM US Equity</stp>
        <stp>INC_DEC_IN_OT_OP_AST_LIAB_DETAIL</stp>
        <stp>FQ3 1999</stp>
        <stp>FQ3 1999</stp>
        <stp>[FA1_ivyerigx.xlsx]Cash Flow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4"/>
      </tp>
      <tp>
        <v>746</v>
        <stp/>
        <stp>##V3_BDHV12</stp>
        <stp>XOM US Equity</stp>
        <stp>INC_DEC_IN_OT_OP_AST_LIAB_DETAIL</stp>
        <stp>FQ1 1999</stp>
        <stp>FQ1 1999</stp>
        <stp>[FA1_ivyerigx.xlsx]Cash Flow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4"/>
      </tp>
      <tp>
        <v>-880</v>
        <stp/>
        <stp>##V3_BDHV12</stp>
        <stp>XOM US Equity</stp>
        <stp>INC_DEC_IN_OT_OP_AST_LIAB_DETAIL</stp>
        <stp>FQ4 1999</stp>
        <stp>FQ4 1999</stp>
        <stp>[FA1_ivyerigx.xlsx]Cash Flow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4"/>
      </tp>
      <tp>
        <v>3090</v>
        <stp/>
        <stp>##V3_BDHV12</stp>
        <stp>XOM US Equity</stp>
        <stp>IS_DEPR_EXP</stp>
        <stp>FQ2 2008</stp>
        <stp>FQ2 2008</stp>
        <stp>[FA1_ivyerigx.xlsx]Income - Adjusted!R56C42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6" s="2"/>
      </tp>
      <tp>
        <v>9920</v>
        <stp/>
        <stp>##V3_BDHV12</stp>
        <stp>XOM US Equity</stp>
        <stp>EARN_FOR_COMMON</stp>
        <stp>FQ3 2005</stp>
        <stp>FQ3 2005</stp>
        <stp>[FA1_ivyerigx.xlsx]Income - Adjusted!R29C31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29" s="2"/>
      </tp>
      <tp>
        <v>3180</v>
        <stp/>
        <stp>##V3_BDHV12</stp>
        <stp>XOM US Equity</stp>
        <stp>EARN_FOR_COMMON</stp>
        <stp>FQ3 2001</stp>
        <stp>FQ3 2001</stp>
        <stp>[FA1_ivyerigx.xlsx]Income - Adjusted!R29C15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29" s="2"/>
      </tp>
      <tp>
        <v>-259</v>
        <stp/>
        <stp>##V3_BDHV12</stp>
        <stp>XOM US Equity</stp>
        <stp>OTHER_NON_CASH_ADJ_LESS_DETAILED</stp>
        <stp>FQ4 1999</stp>
        <stp>FQ4 1999</stp>
        <stp>[FA1_ivyerigx.xlsx]Cash Flow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4"/>
      </tp>
      <tp>
        <v>281</v>
        <stp/>
        <stp>##V3_BDHV12</stp>
        <stp>XOM US Equity</stp>
        <stp>IS_NET_INTEREST_EXPENSE</stp>
        <stp>FQ3 2006</stp>
        <stp>FQ3 2006</stp>
        <stp>[FA1_ivyerigx.xlsx]Income - Adjusted!R13C35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3" s="2"/>
      </tp>
      <tp>
        <v>459</v>
        <stp/>
        <stp>##V3_BDHV12</stp>
        <stp>XOM US Equity</stp>
        <stp>IS_NET_INTEREST_EXPENSE</stp>
        <stp>FQ3 2004</stp>
        <stp>FQ3 2004</stp>
        <stp>[FA1_ivyerigx.xlsx]Income - Adjusted!R13C27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3" s="2"/>
      </tp>
      <tp>
        <v>-542</v>
        <stp/>
        <stp>##V3_BDHV12</stp>
        <stp>XOM US Equity</stp>
        <stp>OTHER_NON_CASH_ADJ_LESS_DETAILED</stp>
        <stp>FQ1 1999</stp>
        <stp>FQ1 1999</stp>
        <stp>[FA1_ivyerigx.xlsx]Cash Flow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4"/>
      </tp>
      <tp>
        <v>-202</v>
        <stp/>
        <stp>##V3_BDHV12</stp>
        <stp>XOM US Equity</stp>
        <stp>OTHER_NON_CASH_ADJ_LESS_DETAILED</stp>
        <stp>FQ2 1999</stp>
        <stp>FQ2 1999</stp>
        <stp>[FA1_ivyerigx.xlsx]Cash Flow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4"/>
      </tp>
      <tp>
        <v>7</v>
        <stp/>
        <stp>##V3_BDHV12</stp>
        <stp>XOM US Equity</stp>
        <stp>OTHER_NON_CASH_ADJ_LESS_DETAILED</stp>
        <stp>FQ3 1999</stp>
        <stp>FQ3 1999</stp>
        <stp>[FA1_ivyerigx.xlsx]Cash Flow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4"/>
      </tp>
      <tp>
        <v>1.4390000000000001</v>
        <stp/>
        <stp>##V3_BDHV12</stp>
        <stp>XOM US Equity</stp>
        <stp>CHG_PCT_PERIOD</stp>
        <stp>FQ1 2004</stp>
        <stp>FQ1 2004</stp>
        <stp>[FA1_ivyerigx.xlsx]Stock Value!R7C25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6"/>
      </tp>
      <tp>
        <v>9.3725000000000005</v>
        <stp/>
        <stp>##V3_BDHV12</stp>
        <stp>XOM US Equity</stp>
        <stp>CHG_PCT_PERIOD</stp>
        <stp>FQ3 2006</stp>
        <stp>FQ3 2006</stp>
        <stp>[FA1_ivyerigx.xlsx]Stock Value!R7C35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6"/>
      </tp>
      <tp>
        <v>-9.7881999999999998</v>
        <stp/>
        <stp>##V3_BDHV12</stp>
        <stp>XOM US Equity</stp>
        <stp>CHG_PCT_PERIOD</stp>
        <stp>FQ3 2001</stp>
        <stp>FQ3 2001</stp>
        <stp>[FA1_ivyerigx.xlsx]Stock Value!R7C15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6"/>
      </tp>
      <tp>
        <v>249</v>
        <stp/>
        <stp>##V3_BDHV12</stp>
        <stp>XOM US Equity</stp>
        <stp>OTHER_NON_CASH_ADJ_LESS_DETAILED</stp>
        <stp>FQ3 1998</stp>
        <stp>FQ3 1998</stp>
        <stp>[FA1_ivyerigx.xlsx]Cash Flow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4"/>
      </tp>
      <tp>
        <v>432</v>
        <stp/>
        <stp>##V3_BDHV12</stp>
        <stp>XOM US Equity</stp>
        <stp>OTHER_NON_CASH_ADJ_LESS_DETAILED</stp>
        <stp>FQ4 1998</stp>
        <stp>FQ4 1998</stp>
        <stp>[FA1_ivyerigx.xlsx]Cash Flow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4"/>
      </tp>
      <tp>
        <v>6823</v>
        <stp/>
        <stp>##V3_BDHV12</stp>
        <stp>XOM US Equity</stp>
        <stp>IS_AVG_NUM_SH_FOR_EPS</stp>
        <stp>FQ4 2001</stp>
        <stp>FQ4 2001</stp>
        <stp>[FA1_ivyerigx.xlsx]Income - Adjusted!R33C16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3" s="2"/>
      </tp>
      <tp>
        <v>6580</v>
        <stp/>
        <stp>##V3_BDHV12</stp>
        <stp>XOM US Equity</stp>
        <stp>IS_AVG_NUM_SH_FOR_EPS</stp>
        <stp>FQ4 2003</stp>
        <stp>FQ4 2003</stp>
        <stp>[FA1_ivyerigx.xlsx]Income - Adjusted!R33C24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3" s="2"/>
      </tp>
      <tp>
        <v>5423</v>
        <stp/>
        <stp>##V3_BDHV12</stp>
        <stp>XOM US Equity</stp>
        <stp>IS_AVG_NUM_SH_FOR_EPS</stp>
        <stp>FQ4 2007</stp>
        <stp>FQ4 2007</stp>
        <stp>[FA1_ivyerigx.xlsx]Income - Adjusted!R33C40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3" s="2"/>
      </tp>
      <tp>
        <v>6226</v>
        <stp/>
        <stp>##V3_BDHV12</stp>
        <stp>XOM US Equity</stp>
        <stp>IS_AVG_NUM_SH_FOR_EPS</stp>
        <stp>FQ4 2005</stp>
        <stp>FQ4 2005</stp>
        <stp>[FA1_ivyerigx.xlsx]Income - Adjusted!R33C32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3" s="2"/>
      </tp>
      <tp>
        <v>0.23</v>
        <stp/>
        <stp>##V3_BDHV12</stp>
        <stp>XOM US Equity</stp>
        <stp>EQY_DPS</stp>
        <stp>FQ3 2002</stp>
        <stp>FQ3 2002</stp>
        <stp>[FA1_ivyerigx.xlsx]Per Share!R20C19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0" s="5"/>
      </tp>
      <tp>
        <v>0.435</v>
        <stp/>
        <stp>##V3_BDHV12</stp>
        <stp>XOM US Equity</stp>
        <stp>IS_EARN_BEF_XO_ITEMS_PER_SH</stp>
        <stp>FQ1 2000</stp>
        <stp>FQ1 2000</stp>
        <stp>[FA1_ivyerigx.xlsx]Per Share!R15C9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5" s="5"/>
      </tp>
      <tp t="s">
        <v>—</v>
        <stp/>
        <stp>##V3_BDHV12</stp>
        <stp>XOM US Equity</stp>
        <stp>CF_CHANGE_IN_INVENTORIES</stp>
        <stp>FQ4 1999</stp>
        <stp>FQ4 1999</stp>
        <stp>[FA1_ivyerigx.xlsx]Cash Flow - Standardized!R13C8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3" s="4"/>
      </tp>
      <tp>
        <v>2386</v>
        <stp/>
        <stp>##V3_BDHV12</stp>
        <stp>XOM US Equity</stp>
        <stp>BS_NUM_OF_TSY_SH</stp>
        <stp>FQ1 2007</stp>
        <stp>FQ1 2007</stp>
        <stp>[FA1_ivyerigx.xlsx]Bal Sheet - Standardized!R54C37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4" s="3"/>
      </tp>
      <tp t="s">
        <v>—</v>
        <stp/>
        <stp>##V3_BDHV12</stp>
        <stp>XOM US Equity</stp>
        <stp>CF_CHANGE_IN_INVENTORIES</stp>
        <stp>FQ3 1998</stp>
        <stp>FQ3 1998</stp>
        <stp>[FA1_ivyerigx.xlsx]Cash Flow - Standardized!R13C3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3" s="4"/>
      </tp>
      <tp t="s">
        <v>—</v>
        <stp/>
        <stp>##V3_BDHV12</stp>
        <stp>XOM US Equity</stp>
        <stp>CF_CHANGE_IN_INVENTORIES</stp>
        <stp>FQ4 1998</stp>
        <stp>FQ4 1998</stp>
        <stp>[FA1_ivyerigx.xlsx]Cash Flow - Standardized!R13C4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3" s="4"/>
      </tp>
      <tp t="s">
        <v>—</v>
        <stp/>
        <stp>##V3_BDHV12</stp>
        <stp>XOM US Equity</stp>
        <stp>IS_SG&amp;A_EXPENSE</stp>
        <stp>FQ4 1998</stp>
        <stp>FQ4 1998</stp>
        <stp>[FA1_ivyerigx.xlsx]Income - Adjusted!R11C4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2"/>
      </tp>
      <tp t="s">
        <v>—</v>
        <stp/>
        <stp>##V3_BDHV12</stp>
        <stp>XOM US Equity</stp>
        <stp>IS_SG&amp;A_EXPENSE</stp>
        <stp>FQ3 1998</stp>
        <stp>FQ3 1998</stp>
        <stp>[FA1_ivyerigx.xlsx]Income - Adjusted!R11C3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2"/>
      </tp>
      <tp t="s">
        <v>—</v>
        <stp/>
        <stp>##V3_BDHV12</stp>
        <stp>XOM US Equity</stp>
        <stp>CF_CHANGE_IN_INVENTORIES</stp>
        <stp>FQ2 1999</stp>
        <stp>FQ2 1999</stp>
        <stp>[FA1_ivyerigx.xlsx]Cash Flow - Standardized!R13C6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3" s="4"/>
      </tp>
      <tp t="s">
        <v>—</v>
        <stp/>
        <stp>##V3_BDHV12</stp>
        <stp>XOM US Equity</stp>
        <stp>CF_CHANGE_IN_INVENTORIES</stp>
        <stp>FQ3 1999</stp>
        <stp>FQ3 1999</stp>
        <stp>[FA1_ivyerigx.xlsx]Cash Flow - Standardized!R13C7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3" s="4"/>
      </tp>
      <tp t="s">
        <v>—</v>
        <stp/>
        <stp>##V3_BDHV12</stp>
        <stp>XOM US Equity</stp>
        <stp>CF_CHANGE_IN_INVENTORIES</stp>
        <stp>FQ1 1999</stp>
        <stp>FQ1 1999</stp>
        <stp>[FA1_ivyerigx.xlsx]Cash Flow - Standardized!R13C5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3" s="4"/>
      </tp>
      <tp>
        <v>-55</v>
        <stp/>
        <stp>##V3_BDHV12</stp>
        <stp>XOM US Equity</stp>
        <stp>PROC_FR_REPAYMNTS_BOR_DETAILED</stp>
        <stp>FQ1 2006</stp>
        <stp>FQ1 2006</stp>
        <stp>[FA1_ivyerigx.xlsx]Cash Flow - Standardized!R29C33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9" s="4"/>
      </tp>
      <tp>
        <v>-219</v>
        <stp/>
        <stp>##V3_BDHV12</stp>
        <stp>XOM US Equity</stp>
        <stp>OTHER_NON_CASH_ADJ_LESS_DETAILED</stp>
        <stp>FQ4 2004</stp>
        <stp>FQ4 2004</stp>
        <stp>[FA1_ivyerigx.xlsx]Cash Flow - Standardized!R11C28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1" s="4"/>
      </tp>
      <tp>
        <v>-835</v>
        <stp/>
        <stp>##V3_BDHV12</stp>
        <stp>XOM US Equity</stp>
        <stp>OTHER_NON_CASH_ADJ_LESS_DETAILED</stp>
        <stp>FQ2 2008</stp>
        <stp>FQ2 2008</stp>
        <stp>[FA1_ivyerigx.xlsx]Cash Flow - Standardized!R11C42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1" s="4"/>
      </tp>
      <tp>
        <v>13</v>
        <stp/>
        <stp>##V3_BDHV12</stp>
        <stp>XOM US Equity</stp>
        <stp>PROC_FR_REPAYMNTS_BOR_DETAILED</stp>
        <stp>FQ3 2001</stp>
        <stp>FQ3 2001</stp>
        <stp>[FA1_ivyerigx.xlsx]Cash Flow - Standardized!R29C15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9" s="4"/>
      </tp>
      <tp>
        <v>331</v>
        <stp/>
        <stp>##V3_BDHV12</stp>
        <stp>XOM US Equity</stp>
        <stp>PROC_FR_REPAYMNTS_BOR_DETAILED</stp>
        <stp>FQ1 2007</stp>
        <stp>FQ1 2007</stp>
        <stp>[FA1_ivyerigx.xlsx]Cash Flow - Standardized!R29C37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9" s="4"/>
      </tp>
      <tp>
        <v>0.56479999999999997</v>
        <stp/>
        <stp>##V3_BDHV12</stp>
        <stp>XOM US Equity</stp>
        <stp>FREE_CASH_FLOW_PER_SH</stp>
        <stp>FQ2 2000</stp>
        <stp>FQ2 2000</stp>
        <stp>[FA1_ivyerigx.xlsx]Per Share!R23C10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3" s="5"/>
      </tp>
      <tp>
        <v>0.39750000000000002</v>
        <stp/>
        <stp>##V3_BDHV12</stp>
        <stp>XOM US Equity</stp>
        <stp>FREE_CASH_FLOW_PER_SH</stp>
        <stp>FQ3 2003</stp>
        <stp>FQ3 2003</stp>
        <stp>[FA1_ivyerigx.xlsx]Per Share!R23C23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3" s="5"/>
      </tp>
      <tp>
        <v>1.9788000000000001</v>
        <stp/>
        <stp>##V3_BDHV12</stp>
        <stp>XOM US Equity</stp>
        <stp>FREE_CASH_FLOW_PER_SH</stp>
        <stp>FQ1 2007</stp>
        <stp>FQ1 2007</stp>
        <stp>[FA1_ivyerigx.xlsx]Per Share!R23C37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3" s="5"/>
      </tp>
      <tp>
        <v>0.87980000000000003</v>
        <stp/>
        <stp>##V3_BDHV12</stp>
        <stp>XOM US Equity</stp>
        <stp>FREE_CASH_FLOW_PER_SH</stp>
        <stp>FQ4 2006</stp>
        <stp>FQ4 2006</stp>
        <stp>[FA1_ivyerigx.xlsx]Per Share!R23C36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3" s="5"/>
      </tp>
      <tp>
        <v>0</v>
        <stp/>
        <stp>##V3_BDHV12</stp>
        <stp>XOM US Equity</stp>
        <stp>PROC_FR_REPAYMNTS_BOR_DETAILED</stp>
        <stp>FQ3 2000</stp>
        <stp>FQ3 2000</stp>
        <stp>[FA1_ivyerigx.xlsx]Cash Flow - Standardized!R29C11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9" s="4"/>
      </tp>
      <tp>
        <v>0</v>
        <stp/>
        <stp>##V3_BDHV12</stp>
        <stp>XOM US Equity</stp>
        <stp>BS_PFD_EQTY_&amp;_HYBRID_CPTL</stp>
        <stp>FQ4 2005</stp>
        <stp>FQ4 2005</stp>
        <stp>[FA1_ivyerigx.xlsx]Bal Sheet - Standardized!R41C32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1" s="3"/>
      </tp>
      <tp>
        <v>2377</v>
        <stp/>
        <stp>##V3_BDHV12</stp>
        <stp>XOM US Equity</stp>
        <stp>OTHER_NON_CASH_ADJ_LESS_DETAILED</stp>
        <stp>FQ4 2003</stp>
        <stp>FQ4 2003</stp>
        <stp>[FA1_ivyerigx.xlsx]Cash Flow - Standardized!R11C24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1" s="4"/>
      </tp>
      <tp>
        <v>-478</v>
        <stp/>
        <stp>##V3_BDHV12</stp>
        <stp>XOM US Equity</stp>
        <stp>PROC_FR_REPAYMNTS_BOR_DETAILED</stp>
        <stp>FQ3 2002</stp>
        <stp>FQ3 2002</stp>
        <stp>[FA1_ivyerigx.xlsx]Cash Flow - Standardized!R29C19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9" s="4"/>
      </tp>
      <tp>
        <v>-328</v>
        <stp/>
        <stp>##V3_BDHV12</stp>
        <stp>XOM US Equity</stp>
        <stp>OTHER_NON_CASH_ADJ_LESS_DETAILED</stp>
        <stp>FQ4 2002</stp>
        <stp>FQ4 2002</stp>
        <stp>[FA1_ivyerigx.xlsx]Cash Flow - Standardized!R11C20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1" s="4"/>
      </tp>
      <tp>
        <v>0</v>
        <stp/>
        <stp>##V3_BDHV12</stp>
        <stp>XOM US Equity</stp>
        <stp>BS_PFD_EQTY_&amp;_HYBRID_CPTL</stp>
        <stp>FQ4 2006</stp>
        <stp>FQ4 2006</stp>
        <stp>[FA1_ivyerigx.xlsx]Bal Sheet - Standardized!R41C36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1" s="3"/>
      </tp>
      <tp t="s">
        <v>—</v>
        <stp/>
        <stp>##V3_BDHV12</stp>
        <stp>XOM US Equity</stp>
        <stp>CF_DEF_INC_TAX</stp>
        <stp>FQ1 2002</stp>
        <stp>FQ1 2002</stp>
        <stp>[FA1_ivyerigx.xlsx]Cash Flow - Standardized!R10C17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0" s="4"/>
      </tp>
      <tp>
        <v>36.6</v>
        <stp/>
        <stp>##V3_BDHV12</stp>
        <stp>XOM US Equity</stp>
        <stp>PX_HIGH</stp>
        <stp>FQ1 2003</stp>
        <stp>FQ1 2003</stp>
        <stp>[FA1_ivyerigx.xlsx]Stock Value!R9C21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9" s="6"/>
      </tp>
      <tp>
        <v>94.74</v>
        <stp/>
        <stp>##V3_BDHV12</stp>
        <stp>XOM US Equity</stp>
        <stp>PX_HIGH</stp>
        <stp>FQ1 2008</stp>
        <stp>FQ1 2008</stp>
        <stp>[FA1_ivyerigx.xlsx]Stock Value!R9C41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9" s="6"/>
      </tp>
      <tp t="s">
        <v>—</v>
        <stp/>
        <stp>##V3_BDHV12</stp>
        <stp>XOM US Equity</stp>
        <stp>CF_DEF_INC_TAX</stp>
        <stp>FQ3 2005</stp>
        <stp>FQ3 2005</stp>
        <stp>[FA1_ivyerigx.xlsx]Cash Flow - Standardized!R10C31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0" s="4"/>
      </tp>
      <tp>
        <v>65.959999999999994</v>
        <stp/>
        <stp>##V3_BDHV12</stp>
        <stp>XOM US Equity</stp>
        <stp>PX_HIGH</stp>
        <stp>FQ3 2005</stp>
        <stp>FQ3 2005</stp>
        <stp>[FA1_ivyerigx.xlsx]Stock Value!R9C31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9" s="6"/>
      </tp>
      <tp>
        <v>45.375</v>
        <stp/>
        <stp>##V3_BDHV12</stp>
        <stp>XOM US Equity</stp>
        <stp>PX_HIGH</stp>
        <stp>FQ3 2000</stp>
        <stp>FQ3 2000</stp>
        <stp>[FA1_ivyerigx.xlsx]Stock Value!R9C11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9" s="6"/>
      </tp>
      <tp>
        <v>35.950000000000003</v>
        <stp/>
        <stp>##V3_BDHV12</stp>
        <stp>XOM US Equity</stp>
        <stp>PX_OPEN</stp>
        <stp>FQ3 2003</stp>
        <stp>FQ3 2003</stp>
        <stp>[FA1_ivyerigx.xlsx]Stock Value!R8C23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6"/>
      </tp>
      <tp t="s">
        <v>—</v>
        <stp/>
        <stp>##V3_BDHV12</stp>
        <stp>XOM US Equity</stp>
        <stp>CF_DEF_INC_TAX</stp>
        <stp>FQ3 2006</stp>
        <stp>FQ3 2006</stp>
        <stp>[FA1_ivyerigx.xlsx]Cash Flow - Standardized!R10C35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0" s="4"/>
      </tp>
      <tp t="s">
        <v>—</v>
        <stp/>
        <stp>##V3_BDHV12</stp>
        <stp>XOM US Equity</stp>
        <stp>CF_DEF_INC_TAX</stp>
        <stp>FQ2 2004</stp>
        <stp>FQ2 2004</stp>
        <stp>[FA1_ivyerigx.xlsx]Cash Flow - Standardized!R10C26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0" s="4"/>
      </tp>
      <tp t="s">
        <v>—</v>
        <stp/>
        <stp>##V3_BDHV12</stp>
        <stp>XOM US Equity</stp>
        <stp>CF_DEF_INC_TAX</stp>
        <stp>FQ2 2003</stp>
        <stp>FQ2 2003</stp>
        <stp>[FA1_ivyerigx.xlsx]Cash Flow - Standardized!R10C22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0" s="4"/>
      </tp>
      <tp t="s">
        <v>—</v>
        <stp/>
        <stp>##V3_BDHV12</stp>
        <stp>XOM US Equity</stp>
        <stp>CF_DEF_INC_TAX</stp>
        <stp>FQ1 2001</stp>
        <stp>FQ1 2001</stp>
        <stp>[FA1_ivyerigx.xlsx]Cash Flow - Standardized!R10C13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0" s="4"/>
      </tp>
      <tp>
        <v>124</v>
        <stp/>
        <stp>##V3_BDHV12</stp>
        <stp>XOM US Equity</stp>
        <stp>CF_DEF_INC_TAX</stp>
        <stp>FQ4 2007</stp>
        <stp>FQ4 2007</stp>
        <stp>[FA1_ivyerigx.xlsx]Cash Flow - Standardized!R10C40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0" s="4"/>
      </tp>
      <tp>
        <v>0.44</v>
        <stp/>
        <stp>##V3_BDHV12</stp>
        <stp>XOM US Equity</stp>
        <stp>IS_BASIC_EPS_CONT_OPS</stp>
        <stp>FQ4 2001</stp>
        <stp>FQ4 2001</stp>
        <stp>[FA1_ivyerigx.xlsx]Per Share!R16C16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6" s="5"/>
      </tp>
      <tp>
        <v>0.67200000000000004</v>
        <stp/>
        <stp>##V3_BDHV12</stp>
        <stp>XOM US Equity</stp>
        <stp>IS_BASIC_EPS_CONT_OPS</stp>
        <stp>FQ4 2003</stp>
        <stp>FQ4 2003</stp>
        <stp>[FA1_ivyerigx.xlsx]Per Share!R16C24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6" s="5"/>
      </tp>
      <tp>
        <v>2.15</v>
        <stp/>
        <stp>##V3_BDHV12</stp>
        <stp>XOM US Equity</stp>
        <stp>IS_BASIC_EPS_CONT_OPS</stp>
        <stp>FQ4 2007</stp>
        <stp>FQ4 2007</stp>
        <stp>[FA1_ivyerigx.xlsx]Per Share!R16C40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6" s="5"/>
      </tp>
      <tp>
        <v>1.6600000000000001</v>
        <stp/>
        <stp>##V3_BDHV12</stp>
        <stp>XOM US Equity</stp>
        <stp>IS_BASIC_EPS_CONT_OPS</stp>
        <stp>FQ4 2005</stp>
        <stp>FQ4 2005</stp>
        <stp>[FA1_ivyerigx.xlsx]Per Share!R16C32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6" s="5"/>
      </tp>
      <tp>
        <v>43.343800000000002</v>
        <stp/>
        <stp>##V3_BDHV12</stp>
        <stp>XOM US Equity</stp>
        <stp>PX_OPEN</stp>
        <stp>FQ1 2001</stp>
        <stp>FQ1 2001</stp>
        <stp>[FA1_ivyerigx.xlsx]Stock Value!R8C13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6"/>
      </tp>
      <tp>
        <v>56.42</v>
        <stp/>
        <stp>##V3_BDHV12</stp>
        <stp>XOM US Equity</stp>
        <stp>PX_OPEN</stp>
        <stp>FQ1 2006</stp>
        <stp>FQ1 2006</stp>
        <stp>[FA1_ivyerigx.xlsx]Stock Value!R8C33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6"/>
      </tp>
      <tp t="s">
        <v>—</v>
        <stp/>
        <stp>##V3_BDHV12</stp>
        <stp>XOM US Equity</stp>
        <stp>CF_DEF_INC_TAX</stp>
        <stp>FQ3 2007</stp>
        <stp>FQ3 2007</stp>
        <stp>[FA1_ivyerigx.xlsx]Cash Flow - Standardized!R10C39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0" s="4"/>
      </tp>
      <tp>
        <v>-1932</v>
        <stp/>
        <stp>##V3_BDHV12</stp>
        <stp>XOM US Equity</stp>
        <stp>CF_DVD_PAID</stp>
        <stp>FQ3 2007</stp>
        <stp>FQ3 2007</stp>
        <stp>[FA1_ivyerigx.xlsx]Cash Flow - Standardized!R28C39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8" s="4"/>
      </tp>
      <tp t="s">
        <v>—</v>
        <stp/>
        <stp>##V3_BDHV12</stp>
        <stp>XOM US Equity</stp>
        <stp>EBITA</stp>
        <stp>FQ3 2002</stp>
        <stp>FQ3 2002</stp>
        <stp>[FA1_ivyerigx.xlsx]Income - Adjusted!R47C19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7" s="2"/>
      </tp>
      <tp>
        <v>-1763</v>
        <stp/>
        <stp>##V3_BDHV12</stp>
        <stp>XOM US Equity</stp>
        <stp>CF_DVD_PAID</stp>
        <stp>FQ2 2004</stp>
        <stp>FQ2 2004</stp>
        <stp>[FA1_ivyerigx.xlsx]Cash Flow - Standardized!R28C26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8" s="4"/>
      </tp>
      <tp>
        <v>-1892</v>
        <stp/>
        <stp>##V3_BDHV12</stp>
        <stp>XOM US Equity</stp>
        <stp>CF_DVD_PAID</stp>
        <stp>FQ3 2006</stp>
        <stp>FQ3 2006</stp>
        <stp>[FA1_ivyerigx.xlsx]Cash Flow - Standardized!R28C35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8" s="4"/>
      </tp>
      <tp>
        <v>-1522</v>
        <stp/>
        <stp>##V3_BDHV12</stp>
        <stp>XOM US Equity</stp>
        <stp>CF_DVD_PAID</stp>
        <stp>FQ1 2001</stp>
        <stp>FQ1 2001</stp>
        <stp>[FA1_ivyerigx.xlsx]Cash Flow - Standardized!R28C13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8" s="4"/>
      </tp>
      <tp>
        <v>-1667</v>
        <stp/>
        <stp>##V3_BDHV12</stp>
        <stp>XOM US Equity</stp>
        <stp>CF_DVD_PAID</stp>
        <stp>FQ2 2003</stp>
        <stp>FQ2 2003</stp>
        <stp>[FA1_ivyerigx.xlsx]Cash Flow - Standardized!R28C22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8" s="4"/>
      </tp>
      <tp>
        <v>-1903</v>
        <stp/>
        <stp>##V3_BDHV12</stp>
        <stp>XOM US Equity</stp>
        <stp>CF_DVD_PAID</stp>
        <stp>FQ4 2007</stp>
        <stp>FQ4 2007</stp>
        <stp>[FA1_ivyerigx.xlsx]Cash Flow - Standardized!R28C40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8" s="4"/>
      </tp>
      <tp>
        <v>-1563</v>
        <stp/>
        <stp>##V3_BDHV12</stp>
        <stp>XOM US Equity</stp>
        <stp>CF_DVD_PAID</stp>
        <stp>FQ1 2002</stp>
        <stp>FQ1 2002</stp>
        <stp>[FA1_ivyerigx.xlsx]Cash Flow - Standardized!R28C17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8" s="4"/>
      </tp>
      <tp>
        <v>-1822</v>
        <stp/>
        <stp>##V3_BDHV12</stp>
        <stp>XOM US Equity</stp>
        <stp>CF_DVD_PAID</stp>
        <stp>FQ3 2005</stp>
        <stp>FQ3 2005</stp>
        <stp>[FA1_ivyerigx.xlsx]Cash Flow - Standardized!R28C31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8" s="4"/>
      </tp>
      <tp>
        <v>0.20499999999999999</v>
        <stp/>
        <stp>##V3_BDHV12</stp>
        <stp>XOM US Equity</stp>
        <stp>EQY_DPS</stp>
        <stp>FQ3 1998</stp>
        <stp>FQ3 1998</stp>
        <stp>[FA1_ivyerigx.xlsx]Income - Adjusted!R53C3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3" s="2"/>
      </tp>
      <tp>
        <v>0.20499999999999999</v>
        <stp/>
        <stp>##V3_BDHV12</stp>
        <stp>XOM US Equity</stp>
        <stp>EQY_DPS</stp>
        <stp>FQ4 1998</stp>
        <stp>FQ4 1998</stp>
        <stp>[FA1_ivyerigx.xlsx]Income - Adjusted!R53C4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3" s="2"/>
      </tp>
      <tp>
        <v>0.31</v>
        <stp/>
        <stp>##V3_BDHV12</stp>
        <stp>XOM US Equity</stp>
        <stp>IS_DILUTED_EPS</stp>
        <stp>FQ4 1998</stp>
        <stp>FQ4 1998</stp>
        <stp>[FA1_ivyerigx.xlsx]Per Share!R17C4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7" s="5"/>
      </tp>
      <tp>
        <v>0.28999999999999998</v>
        <stp/>
        <stp>##V3_BDHV12</stp>
        <stp>XOM US Equity</stp>
        <stp>IS_DILUTED_EPS</stp>
        <stp>FQ3 1998</stp>
        <stp>FQ3 1998</stp>
        <stp>[FA1_ivyerigx.xlsx]Per Share!R17C3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7" s="5"/>
      </tp>
      <tp>
        <v>5680</v>
        <stp/>
        <stp>##V3_BDHV12</stp>
        <stp>XOM US Equity</stp>
        <stp>EARN_FOR_COMMON</stp>
        <stp>FQ3 2004</stp>
        <stp>FQ3 2004</stp>
        <stp>[FA1_ivyerigx.xlsx]Income - Adjusted!R29C27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29" s="2"/>
      </tp>
      <tp>
        <v>10490</v>
        <stp/>
        <stp>##V3_BDHV12</stp>
        <stp>XOM US Equity</stp>
        <stp>EARN_FOR_COMMON</stp>
        <stp>FQ3 2006</stp>
        <stp>FQ3 2006</stp>
        <stp>[FA1_ivyerigx.xlsx]Income - Adjusted!R29C35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29" s="2"/>
      </tp>
      <tp>
        <v>-2.4331</v>
        <stp/>
        <stp>##V3_BDHV12</stp>
        <stp>XOM US Equity</stp>
        <stp>CHG_PCT_PERIOD</stp>
        <stp>FQ4 2000</stp>
        <stp>FQ4 2000</stp>
        <stp>[FA1_ivyerigx.xlsx]Stock Value!R7C12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6"/>
      </tp>
      <tp>
        <v>-11.599</v>
        <stp/>
        <stp>##V3_BDHV12</stp>
        <stp>XOM US Equity</stp>
        <stp>CHG_PCT_PERIOD</stp>
        <stp>FQ4 2005</stp>
        <stp>FQ4 2005</stp>
        <stp>[FA1_ivyerigx.xlsx]Stock Value!R7C32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6"/>
      </tp>
      <tp>
        <v>76</v>
        <stp/>
        <stp>##V3_BDHV12</stp>
        <stp>XOM US Equity</stp>
        <stp>IS_NET_INTEREST_EXPENSE</stp>
        <stp>FQ3 2001</stp>
        <stp>FQ3 2001</stp>
        <stp>[FA1_ivyerigx.xlsx]Income - Adjusted!R13C15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3" s="2"/>
      </tp>
      <tp>
        <v>73</v>
        <stp/>
        <stp>##V3_BDHV12</stp>
        <stp>XOM US Equity</stp>
        <stp>IS_NET_INTEREST_EXPENSE</stp>
        <stp>FQ3 2005</stp>
        <stp>FQ3 2005</stp>
        <stp>[FA1_ivyerigx.xlsx]Income - Adjusted!R13C31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3" s="2"/>
      </tp>
      <tp>
        <v>2.7467999999999999</v>
        <stp/>
        <stp>##V3_BDHV12</stp>
        <stp>XOM US Equity</stp>
        <stp>CHG_PCT_PERIOD</stp>
        <stp>FQ2 2003</stp>
        <stp>FQ2 2003</stp>
        <stp>[FA1_ivyerigx.xlsx]Stock Value!R7C22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6"/>
      </tp>
      <tp>
        <v>4.1971999999999996</v>
        <stp/>
        <stp>##V3_BDHV12</stp>
        <stp>XOM US Equity</stp>
        <stp>CHG_PCT_PERIOD</stp>
        <stp>FQ2 2008</stp>
        <stp>FQ2 2008</stp>
        <stp>[FA1_ivyerigx.xlsx]Stock Value!R7C42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6"/>
      </tp>
      <tp>
        <v>5790.96</v>
        <stp/>
        <stp>##V3_BDHV12</stp>
        <stp>XOM US Equity</stp>
        <stp>IS_AVG_NUM_SH_FOR_EPS</stp>
        <stp>FQ4 2006</stp>
        <stp>FQ4 2006</stp>
        <stp>[FA1_ivyerigx.xlsx]Income - Adjusted!R33C36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3" s="2"/>
      </tp>
      <tp>
        <v>6962</v>
        <stp/>
        <stp>##V3_BDHV12</stp>
        <stp>XOM US Equity</stp>
        <stp>IS_AVG_NUM_SH_FOR_EPS</stp>
        <stp>FQ2 2000</stp>
        <stp>FQ2 2000</stp>
        <stp>[FA1_ivyerigx.xlsx]Income - Adjusted!R33C10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3" s="2"/>
      </tp>
      <tp>
        <v>6619</v>
        <stp/>
        <stp>##V3_BDHV12</stp>
        <stp>XOM US Equity</stp>
        <stp>IS_AVG_NUM_SH_FOR_EPS</stp>
        <stp>FQ3 2003</stp>
        <stp>FQ3 2003</stp>
        <stp>[FA1_ivyerigx.xlsx]Income - Adjusted!R33C23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3" s="2"/>
      </tp>
      <tp>
        <v>5650</v>
        <stp/>
        <stp>##V3_BDHV12</stp>
        <stp>XOM US Equity</stp>
        <stp>IS_AVG_NUM_SH_FOR_EPS</stp>
        <stp>FQ1 2007</stp>
        <stp>FQ1 2007</stp>
        <stp>[FA1_ivyerigx.xlsx]Income - Adjusted!R33C37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3" s="2"/>
      </tp>
      <tp>
        <v>0.27</v>
        <stp/>
        <stp>##V3_BDHV12</stp>
        <stp>XOM US Equity</stp>
        <stp>EQY_DPS</stp>
        <stp>FQ4 2004</stp>
        <stp>FQ4 2004</stp>
        <stp>[FA1_ivyerigx.xlsx]Per Share!R20C28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0" s="5"/>
      </tp>
      <tp>
        <v>0.27</v>
        <stp/>
        <stp>##V3_BDHV12</stp>
        <stp>XOM US Equity</stp>
        <stp>EQY_DPS</stp>
        <stp>FQ1 2005</stp>
        <stp>FQ1 2005</stp>
        <stp>[FA1_ivyerigx.xlsx]Per Share!R20C29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0" s="5"/>
      </tp>
      <tp>
        <v>13.0916</v>
        <stp/>
        <stp>##V3_BDHV12</stp>
        <stp>XOM US Equity</stp>
        <stp>NET_DEBT_TO_SHRHLDR_EQTY</stp>
        <stp>FQ2 2000</stp>
        <stp>FQ2 2000</stp>
        <stp>[FA1_ivyerigx.xlsx]Bal Sheet - Standardized!R61C10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61" s="3"/>
      </tp>
      <tp>
        <v>11.1509</v>
        <stp/>
        <stp>##V3_BDHV12</stp>
        <stp>XOM US Equity</stp>
        <stp>NET_DEBT_TO_SHRHLDR_EQTY</stp>
        <stp>FQ3 2000</stp>
        <stp>FQ3 2000</stp>
        <stp>[FA1_ivyerigx.xlsx]Bal Sheet - Standardized!R61C11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61" s="3"/>
      </tp>
      <tp>
        <v>1090</v>
        <stp/>
        <stp>##V3_BDHV12</stp>
        <stp>XOM US Equity</stp>
        <stp>BS_NUM_OF_TSY_SH</stp>
        <stp>FQ4 2000</stp>
        <stp>FQ4 2000</stp>
        <stp>[FA1_ivyerigx.xlsx]Bal Sheet - Standardized!R54C12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4" s="3"/>
      </tp>
      <tp>
        <v>1319</v>
        <stp/>
        <stp>##V3_BDHV12</stp>
        <stp>XOM US Equity</stp>
        <stp>BS_NUM_OF_TSY_SH</stp>
        <stp>FQ4 2002</stp>
        <stp>FQ4 2002</stp>
        <stp>[FA1_ivyerigx.xlsx]Bal Sheet - Standardized!R54C20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4" s="3"/>
      </tp>
      <tp>
        <v>-1694</v>
        <stp/>
        <stp>##V3_BDHV12</stp>
        <stp>XOM US Equity</stp>
        <stp>PROC_FR_REPAYMNTS_BOR_DETAILED</stp>
        <stp>FQ2 2001</stp>
        <stp>FQ2 2001</stp>
        <stp>[FA1_ivyerigx.xlsx]Cash Flow - Standardized!R29C14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9" s="4"/>
      </tp>
      <tp>
        <v>0</v>
        <stp/>
        <stp>##V3_BDHV12</stp>
        <stp>XOM US Equity</stp>
        <stp>BS_PFD_EQTY_&amp;_HYBRID_CPTL</stp>
        <stp>FQ2 2008</stp>
        <stp>FQ2 2008</stp>
        <stp>[FA1_ivyerigx.xlsx]Bal Sheet - Standardized!R41C42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1" s="3"/>
      </tp>
      <tp>
        <v>0</v>
        <stp/>
        <stp>##V3_BDHV12</stp>
        <stp>XOM US Equity</stp>
        <stp>BS_PFD_EQTY_&amp;_HYBRID_CPTL</stp>
        <stp>FQ4 2004</stp>
        <stp>FQ4 2004</stp>
        <stp>[FA1_ivyerigx.xlsx]Bal Sheet - Standardized!R41C28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1" s="3"/>
      </tp>
      <tp>
        <v>320</v>
        <stp/>
        <stp>##V3_BDHV12</stp>
        <stp>XOM US Equity</stp>
        <stp>PROC_FR_REPAYMNTS_BOR_DETAILED</stp>
        <stp>FQ1 2004</stp>
        <stp>FQ1 2004</stp>
        <stp>[FA1_ivyerigx.xlsx]Cash Flow - Standardized!R29C25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9" s="4"/>
      </tp>
      <tp>
        <v>258202</v>
        <stp/>
        <stp>##V3_BDHV12</stp>
        <stp>XOM US Equity</stp>
        <stp>TOT_LIAB_AND_EQY</stp>
        <stp>FQ1 2008</stp>
        <stp>FQ1 2008</stp>
        <stp>[FA1_ivyerigx.xlsx]Bal Sheet - Standardized!R49C41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9" s="3"/>
      </tp>
      <tp>
        <v>-187</v>
        <stp/>
        <stp>##V3_BDHV12</stp>
        <stp>XOM US Equity</stp>
        <stp>PROC_FR_REPAYMNTS_BOR_DETAILED</stp>
        <stp>FQ1 2003</stp>
        <stp>FQ1 2003</stp>
        <stp>[FA1_ivyerigx.xlsx]Cash Flow - Standardized!R29C21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9" s="4"/>
      </tp>
      <tp>
        <v>0.60940000000000005</v>
        <stp/>
        <stp>##V3_BDHV12</stp>
        <stp>XOM US Equity</stp>
        <stp>FREE_CASH_FLOW_PER_SH</stp>
        <stp>FQ2 2003</stp>
        <stp>FQ2 2003</stp>
        <stp>[FA1_ivyerigx.xlsx]Per Share!R23C22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3" s="5"/>
      </tp>
      <tp>
        <v>0.48459999999999998</v>
        <stp/>
        <stp>##V3_BDHV12</stp>
        <stp>XOM US Equity</stp>
        <stp>FREE_CASH_FLOW_PER_SH</stp>
        <stp>FQ3 2000</stp>
        <stp>FQ3 2000</stp>
        <stp>[FA1_ivyerigx.xlsx]Per Share!R23C11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3" s="5"/>
      </tp>
      <tp>
        <v>1.1197999999999999</v>
        <stp/>
        <stp>##V3_BDHV12</stp>
        <stp>XOM US Equity</stp>
        <stp>FREE_CASH_FLOW_PER_SH</stp>
        <stp>FQ1 2004</stp>
        <stp>FQ1 2004</stp>
        <stp>[FA1_ivyerigx.xlsx]Per Share!R23C25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3" s="5"/>
      </tp>
      <tp>
        <v>-786</v>
        <stp/>
        <stp>##V3_BDHV12</stp>
        <stp>XOM US Equity</stp>
        <stp>PROC_FR_REPAYMNTS_BOR_DETAILED</stp>
        <stp>FQ2 2000</stp>
        <stp>FQ2 2000</stp>
        <stp>[FA1_ivyerigx.xlsx]Cash Flow - Standardized!R29C10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9" s="4"/>
      </tp>
      <tp>
        <v>149000</v>
        <stp/>
        <stp>##V3_BDHV12</stp>
        <stp>XOM US Equity</stp>
        <stp>TOT_LIAB_AND_EQY</stp>
        <stp>FQ4 2000</stp>
        <stp>FQ4 2000</stp>
        <stp>[FA1_ivyerigx.xlsx]Bal Sheet - Standardized!R49C12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9" s="3"/>
      </tp>
      <tp>
        <v>9</v>
        <stp/>
        <stp>##V3_BDHV12</stp>
        <stp>XOM US Equity</stp>
        <stp>PROC_FR_REPAYMNTS_BOR_DETAILED</stp>
        <stp>FQ1 2005</stp>
        <stp>FQ1 2005</stp>
        <stp>[FA1_ivyerigx.xlsx]Cash Flow - Standardized!R29C29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9" s="4"/>
      </tp>
      <tp>
        <v>0</v>
        <stp/>
        <stp>##V3_BDHV12</stp>
        <stp>XOM US Equity</stp>
        <stp>BS_PFD_EQTY_&amp;_HYBRID_CPTL</stp>
        <stp>FQ4 2003</stp>
        <stp>FQ4 2003</stp>
        <stp>[FA1_ivyerigx.xlsx]Bal Sheet - Standardized!R41C24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1" s="3"/>
      </tp>
      <tp>
        <v>-1</v>
        <stp/>
        <stp>##V3_BDHV12</stp>
        <stp>XOM US Equity</stp>
        <stp>OTHER_NON_CASH_ADJ_LESS_DETAILED</stp>
        <stp>FQ4 2005</stp>
        <stp>FQ4 2005</stp>
        <stp>[FA1_ivyerigx.xlsx]Cash Flow - Standardized!R11C32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1" s="4"/>
      </tp>
      <tp>
        <v>143174</v>
        <stp/>
        <stp>##V3_BDHV12</stp>
        <stp>XOM US Equity</stp>
        <stp>TOT_LIAB_AND_EQY</stp>
        <stp>FQ4 2001</stp>
        <stp>FQ4 2001</stp>
        <stp>[FA1_ivyerigx.xlsx]Bal Sheet - Standardized!R49C16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9" s="3"/>
      </tp>
      <tp>
        <v>535</v>
        <stp/>
        <stp>##V3_BDHV12</stp>
        <stp>XOM US Equity</stp>
        <stp>PROC_FR_REPAYMNTS_BOR_DETAILED</stp>
        <stp>FQ2 2002</stp>
        <stp>FQ2 2002</stp>
        <stp>[FA1_ivyerigx.xlsx]Cash Flow - Standardized!R29C18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9" s="4"/>
      </tp>
      <tp>
        <v>-2088</v>
        <stp/>
        <stp>##V3_BDHV12</stp>
        <stp>XOM US Equity</stp>
        <stp>OTHER_NON_CASH_ADJ_LESS_DETAILED</stp>
        <stp>FQ4 2006</stp>
        <stp>FQ4 2006</stp>
        <stp>[FA1_ivyerigx.xlsx]Cash Flow - Standardized!R11C36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1" s="4"/>
      </tp>
      <tp>
        <v>0</v>
        <stp/>
        <stp>##V3_BDHV12</stp>
        <stp>XOM US Equity</stp>
        <stp>BS_PFD_EQTY_&amp;_HYBRID_CPTL</stp>
        <stp>FQ4 2002</stp>
        <stp>FQ4 2002</stp>
        <stp>[FA1_ivyerigx.xlsx]Bal Sheet - Standardized!R41C20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1" s="3"/>
      </tp>
      <tp>
        <v>0</v>
        <stp/>
        <stp>##V3_BDHV12</stp>
        <stp>XOM US Equity</stp>
        <stp>CF_INCR_INVEST</stp>
        <stp>FQ4 2001</stp>
        <stp>FQ4 2001</stp>
        <stp>[FA1_ivyerigx.xlsx]Cash Flow - Standardized!R23C16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3" s="4"/>
      </tp>
      <tp>
        <v>0</v>
        <stp/>
        <stp>##V3_BDHV12</stp>
        <stp>XOM US Equity</stp>
        <stp>CF_DECR_INVEST</stp>
        <stp>FQ4 2001</stp>
        <stp>FQ4 2001</stp>
        <stp>[FA1_ivyerigx.xlsx]Cash Flow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4"/>
      </tp>
      <tp t="s">
        <v>—</v>
        <stp/>
        <stp>##V3_BDHV12</stp>
        <stp>XOM US Equity</stp>
        <stp>CF_DEF_INC_TAX</stp>
        <stp>FQ2 2005</stp>
        <stp>FQ2 2005</stp>
        <stp>[FA1_ivyerigx.xlsx]Cash Flow - Standardized!R10C30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0" s="4"/>
      </tp>
      <tp>
        <v>61.74</v>
        <stp/>
        <stp>##V3_BDHV12</stp>
        <stp>XOM US Equity</stp>
        <stp>PX_HIGH</stp>
        <stp>FQ2 2005</stp>
        <stp>FQ2 2005</stp>
        <stp>[FA1_ivyerigx.xlsx]Stock Value!R9C30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9" s="6"/>
      </tp>
      <tp>
        <v>42.375</v>
        <stp/>
        <stp>##V3_BDHV12</stp>
        <stp>XOM US Equity</stp>
        <stp>PX_HIGH</stp>
        <stp>FQ2 2000</stp>
        <stp>FQ2 2000</stp>
        <stp>[FA1_ivyerigx.xlsx]Stock Value!R9C10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9" s="6"/>
      </tp>
      <tp>
        <v>63.55</v>
        <stp/>
        <stp>##V3_BDHV12</stp>
        <stp>XOM US Equity</stp>
        <stp>PX_OPEN</stp>
        <stp>FQ4 2005</stp>
        <stp>FQ4 2005</stp>
        <stp>[FA1_ivyerigx.xlsx]Stock Value!R8C32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6"/>
      </tp>
      <tp>
        <v>44.6875</v>
        <stp/>
        <stp>##V3_BDHV12</stp>
        <stp>XOM US Equity</stp>
        <stp>PX_OPEN</stp>
        <stp>FQ4 2000</stp>
        <stp>FQ4 2000</stp>
        <stp>[FA1_ivyerigx.xlsx]Stock Value!R8C12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6"/>
      </tp>
      <tp>
        <v>0</v>
        <stp/>
        <stp>##V3_BDHV12</stp>
        <stp>XOM US Equity</stp>
        <stp>CF_INCR_INVEST</stp>
        <stp>FQ4 2000</stp>
        <stp>FQ4 2000</stp>
        <stp>[FA1_ivyerigx.xlsx]Cash Flow - Standardized!R23C12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3" s="4"/>
      </tp>
      <tp>
        <v>0</v>
        <stp/>
        <stp>##V3_BDHV12</stp>
        <stp>XOM US Equity</stp>
        <stp>CF_DECR_INVEST</stp>
        <stp>FQ4 2000</stp>
        <stp>FQ4 2000</stp>
        <stp>[FA1_ivyerigx.xlsx]Cash Flow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4"/>
      </tp>
      <tp>
        <v>36.5</v>
        <stp/>
        <stp>##V3_BDHV12</stp>
        <stp>XOM US Equity</stp>
        <stp>PX_HIGH</stp>
        <stp>FQ4 2002</stp>
        <stp>FQ4 2002</stp>
        <stp>[FA1_ivyerigx.xlsx]Stock Value!R9C20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9" s="6"/>
      </tp>
      <tp>
        <v>95.27</v>
        <stp/>
        <stp>##V3_BDHV12</stp>
        <stp>XOM US Equity</stp>
        <stp>PX_HIGH</stp>
        <stp>FQ4 2007</stp>
        <stp>FQ4 2007</stp>
        <stp>[FA1_ivyerigx.xlsx]Stock Value!R9C40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9" s="6"/>
      </tp>
      <tp t="s">
        <v>—</v>
        <stp/>
        <stp>##V3_BDHV12</stp>
        <stp>XOM US Equity</stp>
        <stp>CF_DEF_INC_TAX</stp>
        <stp>FQ2 2006</stp>
        <stp>FQ2 2006</stp>
        <stp>[FA1_ivyerigx.xlsx]Cash Flow - Standardized!R10C34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0" s="4"/>
      </tp>
      <tp t="s">
        <v>—</v>
        <stp/>
        <stp>##V3_BDHV12</stp>
        <stp>XOM US Equity</stp>
        <stp>CF_DEF_INC_TAX</stp>
        <stp>FQ3 2004</stp>
        <stp>FQ3 2004</stp>
        <stp>[FA1_ivyerigx.xlsx]Cash Flow - Standardized!R10C27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0" s="4"/>
      </tp>
      <tp t="s">
        <v>—</v>
        <stp/>
        <stp>##V3_BDHV12</stp>
        <stp>XOM US Equity</stp>
        <stp>IS_EXPORT_SALES</stp>
        <stp>FQ4 1999</stp>
        <stp>FQ4 1999</stp>
        <stp>[FA1_ivyerigx.xlsx]Income - Adjusted!R55C8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5" s="2"/>
      </tp>
      <tp>
        <v>35.25</v>
        <stp/>
        <stp>##V3_BDHV12</stp>
        <stp>XOM US Equity</stp>
        <stp>PX_OPEN</stp>
        <stp>FQ2 2003</stp>
        <stp>FQ2 2003</stp>
        <stp>[FA1_ivyerigx.xlsx]Stock Value!R8C22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6"/>
      </tp>
      <tp>
        <v>84.8</v>
        <stp/>
        <stp>##V3_BDHV12</stp>
        <stp>XOM US Equity</stp>
        <stp>PX_OPEN</stp>
        <stp>FQ2 2008</stp>
        <stp>FQ2 2008</stp>
        <stp>[FA1_ivyerigx.xlsx]Stock Value!R8C42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6"/>
      </tp>
      <tp t="s">
        <v>—</v>
        <stp/>
        <stp>##V3_BDHV12</stp>
        <stp>XOM US Equity</stp>
        <stp>CF_DEF_INC_TAX</stp>
        <stp>FQ3 2003</stp>
        <stp>FQ3 2003</stp>
        <stp>[FA1_ivyerigx.xlsx]Cash Flow - Standardized!R10C23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0" s="4"/>
      </tp>
      <tp t="s">
        <v>—</v>
        <stp/>
        <stp>##V3_BDHV12</stp>
        <stp>XOM US Equity</stp>
        <stp>CF_DEF_INC_TAX</stp>
        <stp>FQ2 2007</stp>
        <stp>FQ2 2007</stp>
        <stp>[FA1_ivyerigx.xlsx]Cash Flow - Standardized!R10C38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0" s="4"/>
      </tp>
      <tp t="s">
        <v>—</v>
        <stp/>
        <stp>##V3_BDHV12</stp>
        <stp>XOM US Equity</stp>
        <stp>IS_EXPORT_SALES</stp>
        <stp>FQ4 1998</stp>
        <stp>FQ4 1998</stp>
        <stp>[FA1_ivyerigx.xlsx]Income - Adjusted!R55C4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5" s="2"/>
      </tp>
      <tp>
        <v>0</v>
        <stp/>
        <stp>##V3_BDHV12</stp>
        <stp>XOM US Equity</stp>
        <stp>CF_DECR_INVEST</stp>
        <stp>FQ1 2008</stp>
        <stp>FQ1 2008</stp>
        <stp>[FA1_ivyerigx.xlsx]Cash Flow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4"/>
      </tp>
      <tp>
        <v>0</v>
        <stp/>
        <stp>##V3_BDHV12</stp>
        <stp>XOM US Equity</stp>
        <stp>CF_INCR_INVEST</stp>
        <stp>FQ1 2008</stp>
        <stp>FQ1 2008</stp>
        <stp>[FA1_ivyerigx.xlsx]Cash Flow - Standardized!R23C41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3" s="4"/>
      </tp>
      <tp>
        <v>-1961</v>
        <stp/>
        <stp>##V3_BDHV12</stp>
        <stp>XOM US Equity</stp>
        <stp>CF_DVD_PAID</stp>
        <stp>FQ2 2007</stp>
        <stp>FQ2 2007</stp>
        <stp>[FA1_ivyerigx.xlsx]Cash Flow - Standardized!R28C38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8" s="4"/>
      </tp>
      <tp>
        <v>213</v>
        <stp/>
        <stp>##V3_BDHV12</stp>
        <stp>XOM US Equity</stp>
        <stp>CHG_IN_FXD_&amp;_INTANG_AST_DETAILED</stp>
        <stp>FQ1 2000</stp>
        <stp>FQ1 2000</stp>
        <stp>[FA1_ivyerigx.xlsx]Cash Flow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4"/>
      </tp>
      <tp>
        <v>18242</v>
        <stp/>
        <stp>##V3_BDHV12</stp>
        <stp>XOM US Equity</stp>
        <stp>EBITA</stp>
        <stp>FQ2 2008</stp>
        <stp>FQ2 2008</stp>
        <stp>[FA1_ivyerigx.xlsx]Income - Adjusted!R47C42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7" s="2"/>
      </tp>
      <tp t="s">
        <v>—</v>
        <stp/>
        <stp>##V3_BDHV12</stp>
        <stp>XOM US Equity</stp>
        <stp>EBITA</stp>
        <stp>FQ2 2002</stp>
        <stp>FQ2 2002</stp>
        <stp>[FA1_ivyerigx.xlsx]Income - Adjusted!R47C18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7" s="2"/>
      </tp>
      <tp>
        <v>-1753</v>
        <stp/>
        <stp>##V3_BDHV12</stp>
        <stp>XOM US Equity</stp>
        <stp>CF_DVD_PAID</stp>
        <stp>FQ3 2004</stp>
        <stp>FQ3 2004</stp>
        <stp>[FA1_ivyerigx.xlsx]Cash Flow - Standardized!R28C27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8" s="4"/>
      </tp>
      <tp>
        <v>-1926</v>
        <stp/>
        <stp>##V3_BDHV12</stp>
        <stp>XOM US Equity</stp>
        <stp>CF_DVD_PAID</stp>
        <stp>FQ2 2006</stp>
        <stp>FQ2 2006</stp>
        <stp>[FA1_ivyerigx.xlsx]Cash Flow - Standardized!R28C34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8" s="4"/>
      </tp>
      <tp>
        <v>-1658</v>
        <stp/>
        <stp>##V3_BDHV12</stp>
        <stp>XOM US Equity</stp>
        <stp>CF_DVD_PAID</stp>
        <stp>FQ3 2003</stp>
        <stp>FQ3 2003</stp>
        <stp>[FA1_ivyerigx.xlsx]Cash Flow - Standardized!R28C23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8" s="4"/>
      </tp>
      <tp>
        <v>-1840</v>
        <stp/>
        <stp>##V3_BDHV12</stp>
        <stp>XOM US Equity</stp>
        <stp>CF_DVD_PAID</stp>
        <stp>FQ2 2005</stp>
        <stp>FQ2 2005</stp>
        <stp>[FA1_ivyerigx.xlsx]Cash Flow - Standardized!R28C30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8" s="4"/>
      </tp>
      <tp t="s">
        <v>—</v>
        <stp/>
        <stp>##V3_BDHV12</stp>
        <stp>XOM US Equity</stp>
        <stp>IS_SG&amp;A_EXPENSE</stp>
        <stp>FQ4 2004</stp>
        <stp>FQ4 2004</stp>
        <stp>[FA1_ivyerigx.xlsx]Income - Adjusted!R11C28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1" s="2"/>
      </tp>
      <tp>
        <v>3451</v>
        <stp/>
        <stp>##V3_BDHV12</stp>
        <stp>XOM US Equity</stp>
        <stp>IS_SG&amp;A_EXPENSE</stp>
        <stp>FQ1 2005</stp>
        <stp>FQ1 2005</stp>
        <stp>[FA1_ivyerigx.xlsx]Income - Adjusted!R11C29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1" s="2"/>
      </tp>
      <tp>
        <v>1.3463000000000001</v>
        <stp/>
        <stp>##V3_BDHV12</stp>
        <stp>XOM US Equity</stp>
        <stp>CUR_RATIO</stp>
        <stp>FQ2 2008</stp>
        <stp>FQ2 2008</stp>
        <stp>[FA1_ivyerigx.xlsx]Bal Sheet - Standardized!R63C42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63" s="3"/>
      </tp>
      <tp>
        <v>1.3772</v>
        <stp/>
        <stp>##V3_BDHV12</stp>
        <stp>XOM US Equity</stp>
        <stp>CUR_RATIO</stp>
        <stp>FQ1 2008</stp>
        <stp>FQ1 2008</stp>
        <stp>[FA1_ivyerigx.xlsx]Bal Sheet - Standardized!R63C41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63" s="3"/>
      </tp>
      <tp>
        <v>1.4047000000000001</v>
        <stp/>
        <stp>##V3_BDHV12</stp>
        <stp>XOM US Equity</stp>
        <stp>CUR_RATIO</stp>
        <stp>FQ4 2004</stp>
        <stp>FQ4 2004</stp>
        <stp>[FA1_ivyerigx.xlsx]Bal Sheet - Standardized!R63C28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63" s="3"/>
      </tp>
      <tp>
        <v>1.1053999999999999</v>
        <stp/>
        <stp>##V3_BDHV12</stp>
        <stp>XOM US Equity</stp>
        <stp>CUR_RATIO</stp>
        <stp>FQ3 2002</stp>
        <stp>FQ3 2002</stp>
        <stp>[FA1_ivyerigx.xlsx]Bal Sheet - Standardized!R63C19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63" s="3"/>
      </tp>
      <tp>
        <v>1.1567000000000001</v>
        <stp/>
        <stp>##V3_BDHV12</stp>
        <stp>XOM US Equity</stp>
        <stp>CUR_RATIO</stp>
        <stp>FQ2 2002</stp>
        <stp>FQ2 2002</stp>
        <stp>[FA1_ivyerigx.xlsx]Bal Sheet - Standardized!R63C18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63" s="3"/>
      </tp>
      <tp>
        <v>0.6</v>
        <stp/>
        <stp>##V3_BDHV12</stp>
        <stp>XOM US Equity</stp>
        <stp>IS_DILUTED_EPS</stp>
        <stp>FQ4 1999</stp>
        <stp>FQ4 1999</stp>
        <stp>[FA1_ivyerigx.xlsx]Per Share!R17C8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7" s="5"/>
      </tp>
      <tp>
        <v>0.30499999999999999</v>
        <stp/>
        <stp>##V3_BDHV12</stp>
        <stp>XOM US Equity</stp>
        <stp>IS_DILUTED_EPS</stp>
        <stp>FQ3 1999</stp>
        <stp>FQ3 1999</stp>
        <stp>[FA1_ivyerigx.xlsx]Per Share!R17C7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7" s="5"/>
      </tp>
      <tp>
        <v>0.245</v>
        <stp/>
        <stp>##V3_BDHV12</stp>
        <stp>XOM US Equity</stp>
        <stp>IS_DILUTED_EPS</stp>
        <stp>FQ2 1999</stp>
        <stp>FQ2 1999</stp>
        <stp>[FA1_ivyerigx.xlsx]Per Share!R17C6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7" s="5"/>
      </tp>
      <tp>
        <v>0.21</v>
        <stp/>
        <stp>##V3_BDHV12</stp>
        <stp>XOM US Equity</stp>
        <stp>IS_DILUTED_EPS</stp>
        <stp>FQ1 1999</stp>
        <stp>FQ1 1999</stp>
        <stp>[FA1_ivyerigx.xlsx]Per Share!R17C5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7" s="5"/>
      </tp>
      <tp>
        <v>5790</v>
        <stp/>
        <stp>##V3_BDHV12</stp>
        <stp>XOM US Equity</stp>
        <stp>EARN_FOR_COMMON</stp>
        <stp>FQ2 2004</stp>
        <stp>FQ2 2004</stp>
        <stp>[FA1_ivyerigx.xlsx]Income - Adjusted!R29C26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29" s="2"/>
      </tp>
      <tp>
        <v>10360</v>
        <stp/>
        <stp>##V3_BDHV12</stp>
        <stp>XOM US Equity</stp>
        <stp>EARN_FOR_COMMON</stp>
        <stp>FQ2 2006</stp>
        <stp>FQ2 2006</stp>
        <stp>[FA1_ivyerigx.xlsx]Income - Adjusted!R29C34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29" s="2"/>
      </tp>
      <tp>
        <v>5000</v>
        <stp/>
        <stp>##V3_BDHV12</stp>
        <stp>XOM US Equity</stp>
        <stp>EARN_FOR_COMMON</stp>
        <stp>FQ1 2001</stp>
        <stp>FQ1 2001</stp>
        <stp>[FA1_ivyerigx.xlsx]Income - Adjusted!R29C13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29" s="2"/>
      </tp>
      <tp>
        <v>7040</v>
        <stp/>
        <stp>##V3_BDHV12</stp>
        <stp>XOM US Equity</stp>
        <stp>EARN_FOR_COMMON</stp>
        <stp>FQ1 2003</stp>
        <stp>FQ1 2003</stp>
        <stp>[FA1_ivyerigx.xlsx]Income - Adjusted!R29C21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29" s="2"/>
      </tp>
      <tp>
        <v>5220</v>
        <stp/>
        <stp>##V3_BDHV12</stp>
        <stp>XOM US Equity</stp>
        <stp>EARN_FOR_COMMON</stp>
        <stp>FQ4 2000</stp>
        <stp>FQ4 2000</stp>
        <stp>[FA1_ivyerigx.xlsx]Income - Adjusted!R29C12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29" s="2"/>
      </tp>
      <tp>
        <v>4090</v>
        <stp/>
        <stp>##V3_BDHV12</stp>
        <stp>XOM US Equity</stp>
        <stp>EARN_FOR_COMMON</stp>
        <stp>FQ4 2002</stp>
        <stp>FQ4 2002</stp>
        <stp>[FA1_ivyerigx.xlsx]Income - Adjusted!R29C20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29" s="2"/>
      </tp>
      <tp>
        <v>70</v>
        <stp/>
        <stp>##V3_BDHV12</stp>
        <stp>XOM US Equity</stp>
        <stp>IS_NET_INTEREST_EXPENSE</stp>
        <stp>FQ2 2001</stp>
        <stp>FQ2 2001</stp>
        <stp>[FA1_ivyerigx.xlsx]Income - Adjusted!R13C14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3" s="2"/>
      </tp>
      <tp>
        <v>244</v>
        <stp/>
        <stp>##V3_BDHV12</stp>
        <stp>XOM US Equity</stp>
        <stp>IS_NET_INTEREST_EXPENSE</stp>
        <stp>FQ2 2005</stp>
        <stp>FQ2 2005</stp>
        <stp>[FA1_ivyerigx.xlsx]Income - Adjusted!R13C30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3" s="2"/>
      </tp>
      <tp>
        <v>88</v>
        <stp/>
        <stp>##V3_BDHV12</stp>
        <stp>XOM US Equity</stp>
        <stp>IS_NET_INTEREST_EXPENSE</stp>
        <stp>FQ1 2002</stp>
        <stp>FQ1 2002</stp>
        <stp>[FA1_ivyerigx.xlsx]Income - Adjusted!R13C17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3" s="2"/>
      </tp>
      <tp>
        <v>165</v>
        <stp/>
        <stp>##V3_BDHV12</stp>
        <stp>XOM US Equity</stp>
        <stp>IS_NET_INTEREST_EXPENSE</stp>
        <stp>FQ1 2006</stp>
        <stp>FQ1 2006</stp>
        <stp>[FA1_ivyerigx.xlsx]Income - Adjusted!R13C33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3" s="2"/>
      </tp>
      <tp>
        <v>8.3497000000000003</v>
        <stp/>
        <stp>##V3_BDHV12</stp>
        <stp>XOM US Equity</stp>
        <stp>CHG_PCT_PERIOD</stp>
        <stp>FQ1 2006</stp>
        <stp>FQ1 2006</stp>
        <stp>[FA1_ivyerigx.xlsx]Stock Value!R7C33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6"/>
      </tp>
      <tp>
        <v>-6.8296000000000001</v>
        <stp/>
        <stp>##V3_BDHV12</stp>
        <stp>XOM US Equity</stp>
        <stp>CHG_PCT_PERIOD</stp>
        <stp>FQ1 2001</stp>
        <stp>FQ1 2001</stp>
        <stp>[FA1_ivyerigx.xlsx]Stock Value!R7C13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6"/>
      </tp>
      <tp>
        <v>1.9215</v>
        <stp/>
        <stp>##V3_BDHV12</stp>
        <stp>XOM US Equity</stp>
        <stp>CHG_PCT_PERIOD</stp>
        <stp>FQ3 2003</stp>
        <stp>FQ3 2003</stp>
        <stp>[FA1_ivyerigx.xlsx]Stock Value!R7C23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6"/>
      </tp>
      <tp>
        <v>6654</v>
        <stp/>
        <stp>##V3_BDHV12</stp>
        <stp>XOM US Equity</stp>
        <stp>IS_AVG_NUM_SH_FOR_EPS</stp>
        <stp>FQ2 2003</stp>
        <stp>FQ2 2003</stp>
        <stp>[FA1_ivyerigx.xlsx]Income - Adjusted!R33C22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3" s="2"/>
      </tp>
      <tp>
        <v>6960</v>
        <stp/>
        <stp>##V3_BDHV12</stp>
        <stp>XOM US Equity</stp>
        <stp>IS_AVG_NUM_SH_FOR_EPS</stp>
        <stp>FQ3 2000</stp>
        <stp>FQ3 2000</stp>
        <stp>[FA1_ivyerigx.xlsx]Income - Adjusted!R33C11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3" s="2"/>
      </tp>
      <tp>
        <v>6544</v>
        <stp/>
        <stp>##V3_BDHV12</stp>
        <stp>XOM US Equity</stp>
        <stp>IS_AVG_NUM_SH_FOR_EPS</stp>
        <stp>FQ1 2004</stp>
        <stp>FQ1 2004</stp>
        <stp>[FA1_ivyerigx.xlsx]Income - Adjusted!R33C25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3" s="2"/>
      </tp>
      <tp>
        <v>-19.782</v>
        <stp/>
        <stp>##V3_BDHV12</stp>
        <stp>XOM US Equity</stp>
        <stp>NET_DEBT_TO_SHRHLDR_EQTY</stp>
        <stp>FQ4 2007</stp>
        <stp>FQ4 2007</stp>
        <stp>[FA1_ivyerigx.xlsx]Bal Sheet - Standardized!R61C40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61" s="3"/>
      </tp>
      <tp>
        <v>-18.0276</v>
        <stp/>
        <stp>##V3_BDHV12</stp>
        <stp>XOM US Equity</stp>
        <stp>NET_DEBT_TO_SHRHLDR_EQTY</stp>
        <stp>FQ4 2005</stp>
        <stp>FQ4 2005</stp>
        <stp>[FA1_ivyerigx.xlsx]Bal Sheet - Standardized!R61C32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61" s="3"/>
      </tp>
      <tp>
        <v>-2.0945999999999998</v>
        <stp/>
        <stp>##V3_BDHV12</stp>
        <stp>XOM US Equity</stp>
        <stp>NET_DEBT_TO_SHRHLDR_EQTY</stp>
        <stp>FQ1 2003</stp>
        <stp>FQ1 2003</stp>
        <stp>[FA1_ivyerigx.xlsx]Bal Sheet - Standardized!R61C21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61" s="3"/>
      </tp>
      <tp>
        <v>-1.6665999999999999</v>
        <stp/>
        <stp>##V3_BDHV12</stp>
        <stp>XOM US Equity</stp>
        <stp>NET_DEBT_TO_SHRHLDR_EQTY</stp>
        <stp>FQ3 2003</stp>
        <stp>FQ3 2003</stp>
        <stp>[FA1_ivyerigx.xlsx]Bal Sheet - Standardized!R61C23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61" s="3"/>
      </tp>
      <tp>
        <v>-2.8856999999999999</v>
        <stp/>
        <stp>##V3_BDHV12</stp>
        <stp>XOM US Equity</stp>
        <stp>NET_DEBT_TO_SHRHLDR_EQTY</stp>
        <stp>FQ2 2003</stp>
        <stp>FQ2 2003</stp>
        <stp>[FA1_ivyerigx.xlsx]Bal Sheet - Standardized!R61C22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61" s="3"/>
      </tp>
      <tp>
        <v>-1.1587000000000001</v>
        <stp/>
        <stp>##V3_BDHV12</stp>
        <stp>XOM US Equity</stp>
        <stp>NET_DEBT_TO_SHRHLDR_EQTY</stp>
        <stp>FQ4 2003</stp>
        <stp>FQ4 2003</stp>
        <stp>[FA1_ivyerigx.xlsx]Bal Sheet - Standardized!R61C24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61" s="3"/>
      </tp>
      <tp>
        <v>2.6762999999999999</v>
        <stp/>
        <stp>##V3_BDHV12</stp>
        <stp>XOM US Equity</stp>
        <stp>NET_DEBT_TO_SHRHLDR_EQTY</stp>
        <stp>FQ1 2001</stp>
        <stp>FQ1 2001</stp>
        <stp>[FA1_ivyerigx.xlsx]Bal Sheet - Standardized!R61C13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61" s="3"/>
      </tp>
      <tp>
        <v>5.5997000000000003</v>
        <stp/>
        <stp>##V3_BDHV12</stp>
        <stp>XOM US Equity</stp>
        <stp>NET_DEBT_TO_SHRHLDR_EQTY</stp>
        <stp>FQ4 2001</stp>
        <stp>FQ4 2001</stp>
        <stp>[FA1_ivyerigx.xlsx]Bal Sheet - Standardized!R61C16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61" s="3"/>
      </tp>
      <tp>
        <v>-1948</v>
        <stp/>
        <stp>##V3_BDHV12</stp>
        <stp>XOM US Equity</stp>
        <stp>NON_CASH_ITEMS_DETAILED</stp>
        <stp>FQ1 2000</stp>
        <stp>FQ1 2000</stp>
        <stp>[FA1_ivyerigx.xlsx]Cash Flow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4"/>
      </tp>
      <tp>
        <v>1714</v>
        <stp/>
        <stp>##V3_BDHV12</stp>
        <stp>XOM US Equity</stp>
        <stp>BS_NUM_OF_TSY_SH</stp>
        <stp>FQ2 2005</stp>
        <stp>FQ2 2005</stp>
        <stp>[FA1_ivyerigx.xlsx]Bal Sheet - Standardized!R54C30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4" s="3"/>
      </tp>
      <tp>
        <v>1797</v>
        <stp/>
        <stp>##V3_BDHV12</stp>
        <stp>XOM US Equity</stp>
        <stp>BS_NUM_OF_TSY_SH</stp>
        <stp>FQ3 2005</stp>
        <stp>FQ3 2005</stp>
        <stp>[FA1_ivyerigx.xlsx]Bal Sheet - Standardized!R54C31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4" s="3"/>
      </tp>
      <tp>
        <v>2296</v>
        <stp/>
        <stp>##V3_BDHV12</stp>
        <stp>XOM US Equity</stp>
        <stp>BS_NUM_OF_TSY_SH</stp>
        <stp>FQ2 2001</stp>
        <stp>FQ2 2001</stp>
        <stp>[FA1_ivyerigx.xlsx]Bal Sheet - Standardized!R54C14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4" s="3"/>
      </tp>
      <tp>
        <v>1179</v>
        <stp/>
        <stp>##V3_BDHV12</stp>
        <stp>XOM US Equity</stp>
        <stp>BS_NUM_OF_TSY_SH</stp>
        <stp>FQ3 2001</stp>
        <stp>FQ3 2001</stp>
        <stp>[FA1_ivyerigx.xlsx]Bal Sheet - Standardized!R54C15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4" s="3"/>
      </tp>
      <tp>
        <v>-346</v>
        <stp/>
        <stp>##V3_BDHV12</stp>
        <stp>XOM US Equity</stp>
        <stp>PROC_FR_REPAYMNTS_BOR_DETAILED</stp>
        <stp>FQ1 2002</stp>
        <stp>FQ1 2002</stp>
        <stp>[FA1_ivyerigx.xlsx]Cash Flow - Standardized!R29C17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9" s="4"/>
      </tp>
      <tp>
        <v>-738</v>
        <stp/>
        <stp>##V3_BDHV12</stp>
        <stp>XOM US Equity</stp>
        <stp>PROC_FR_REPAYMNTS_BOR_DETAILED</stp>
        <stp>FQ3 2005</stp>
        <stp>FQ3 2005</stp>
        <stp>[FA1_ivyerigx.xlsx]Cash Flow - Standardized!R29C31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9" s="4"/>
      </tp>
      <tp>
        <v>0</v>
        <stp/>
        <stp>##V3_BDHV12</stp>
        <stp>XOM US Equity</stp>
        <stp>BS_PFD_EQTY_&amp;_HYBRID_CPTL</stp>
        <stp>FQ1 2008</stp>
        <stp>FQ1 2008</stp>
        <stp>[FA1_ivyerigx.xlsx]Bal Sheet - Standardized!R41C41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1" s="3"/>
      </tp>
      <tp>
        <v>-154</v>
        <stp/>
        <stp>##V3_BDHV12</stp>
        <stp>XOM US Equity</stp>
        <stp>PROC_FR_REPAYMNTS_BOR_DETAILED</stp>
        <stp>FQ2 2004</stp>
        <stp>FQ2 2004</stp>
        <stp>[FA1_ivyerigx.xlsx]Cash Flow - Standardized!R29C26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9" s="4"/>
      </tp>
      <tp>
        <v>186</v>
        <stp/>
        <stp>##V3_BDHV12</stp>
        <stp>XOM US Equity</stp>
        <stp>PROC_FR_REPAYMNTS_BOR_DETAILED</stp>
        <stp>FQ3 2006</stp>
        <stp>FQ3 2006</stp>
        <stp>[FA1_ivyerigx.xlsx]Cash Flow - Standardized!R29C35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9" s="4"/>
      </tp>
      <tp>
        <v>195256</v>
        <stp/>
        <stp>##V3_BDHV12</stp>
        <stp>XOM US Equity</stp>
        <stp>TOT_LIAB_AND_EQY</stp>
        <stp>FQ4 2004</stp>
        <stp>FQ4 2004</stp>
        <stp>[FA1_ivyerigx.xlsx]Bal Sheet - Standardized!R49C28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9" s="3"/>
      </tp>
      <tp>
        <v>266758</v>
        <stp/>
        <stp>##V3_BDHV12</stp>
        <stp>XOM US Equity</stp>
        <stp>TOT_LIAB_AND_EQY</stp>
        <stp>FQ2 2008</stp>
        <stp>FQ2 2008</stp>
        <stp>[FA1_ivyerigx.xlsx]Bal Sheet - Standardized!R49C42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9" s="3"/>
      </tp>
      <tp>
        <v>419</v>
        <stp/>
        <stp>##V3_BDHV12</stp>
        <stp>XOM US Equity</stp>
        <stp>PROC_FR_REPAYMNTS_BOR_DETAILED</stp>
        <stp>FQ4 2007</stp>
        <stp>FQ4 2007</stp>
        <stp>[FA1_ivyerigx.xlsx]Cash Flow - Standardized!R29C40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9" s="4"/>
      </tp>
      <tp>
        <v>-691</v>
        <stp/>
        <stp>##V3_BDHV12</stp>
        <stp>XOM US Equity</stp>
        <stp>PROC_FR_REPAYMNTS_BOR_DETAILED</stp>
        <stp>FQ1 2001</stp>
        <stp>FQ1 2001</stp>
        <stp>[FA1_ivyerigx.xlsx]Cash Flow - Standardized!R29C13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9" s="4"/>
      </tp>
      <tp>
        <v>-611</v>
        <stp/>
        <stp>##V3_BDHV12</stp>
        <stp>XOM US Equity</stp>
        <stp>PROC_FR_REPAYMNTS_BOR_DETAILED</stp>
        <stp>FQ2 2003</stp>
        <stp>FQ2 2003</stp>
        <stp>[FA1_ivyerigx.xlsx]Cash Flow - Standardized!R29C22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9" s="4"/>
      </tp>
      <tp>
        <v>1.18</v>
        <stp/>
        <stp>##V3_BDHV12</stp>
        <stp>XOM US Equity</stp>
        <stp>FREE_CASH_FLOW_PER_SH</stp>
        <stp>FQ2 2006</stp>
        <stp>FQ2 2006</stp>
        <stp>[FA1_ivyerigx.xlsx]Per Share!R23C34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3" s="5"/>
      </tp>
      <tp>
        <v>0.87919999999999998</v>
        <stp/>
        <stp>##V3_BDHV12</stp>
        <stp>XOM US Equity</stp>
        <stp>FREE_CASH_FLOW_PER_SH</stp>
        <stp>FQ2 2004</stp>
        <stp>FQ2 2004</stp>
        <stp>[FA1_ivyerigx.xlsx]Per Share!R23C26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3" s="5"/>
      </tp>
      <tp>
        <v>0.85409999999999997</v>
        <stp/>
        <stp>##V3_BDHV12</stp>
        <stp>XOM US Equity</stp>
        <stp>FREE_CASH_FLOW_PER_SH</stp>
        <stp>FQ1 2003</stp>
        <stp>FQ1 2003</stp>
        <stp>[FA1_ivyerigx.xlsx]Per Share!R23C21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3" s="5"/>
      </tp>
      <tp>
        <v>0.96950000000000003</v>
        <stp/>
        <stp>##V3_BDHV12</stp>
        <stp>XOM US Equity</stp>
        <stp>FREE_CASH_FLOW_PER_SH</stp>
        <stp>FQ1 2001</stp>
        <stp>FQ1 2001</stp>
        <stp>[FA1_ivyerigx.xlsx]Per Share!R23C13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3" s="5"/>
      </tp>
      <tp>
        <v>0.26650000000000001</v>
        <stp/>
        <stp>##V3_BDHV12</stp>
        <stp>XOM US Equity</stp>
        <stp>FREE_CASH_FLOW_PER_SH</stp>
        <stp>FQ4 2002</stp>
        <stp>FQ4 2002</stp>
        <stp>[FA1_ivyerigx.xlsx]Per Share!R23C20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3" s="5"/>
      </tp>
      <tp>
        <v>0.49940000000000001</v>
        <stp/>
        <stp>##V3_BDHV12</stp>
        <stp>XOM US Equity</stp>
        <stp>FREE_CASH_FLOW_PER_SH</stp>
        <stp>FQ4 2000</stp>
        <stp>FQ4 2000</stp>
        <stp>[FA1_ivyerigx.xlsx]Per Share!R23C12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3" s="5"/>
      </tp>
      <tp>
        <v>152644</v>
        <stp/>
        <stp>##V3_BDHV12</stp>
        <stp>XOM US Equity</stp>
        <stp>TOT_LIAB_AND_EQY</stp>
        <stp>FQ4 2002</stp>
        <stp>FQ4 2002</stp>
        <stp>[FA1_ivyerigx.xlsx]Bal Sheet - Standardized!R49C20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9" s="3"/>
      </tp>
      <tp>
        <v>-91</v>
        <stp/>
        <stp>##V3_BDHV12</stp>
        <stp>XOM US Equity</stp>
        <stp>PROC_FR_REPAYMNTS_BOR_DETAILED</stp>
        <stp>FQ3 2007</stp>
        <stp>FQ3 2007</stp>
        <stp>[FA1_ivyerigx.xlsx]Cash Flow - Standardized!R29C39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9" s="4"/>
      </tp>
      <tp>
        <v>0</v>
        <stp/>
        <stp>##V3_BDHV12</stp>
        <stp>XOM US Equity</stp>
        <stp>BS_PFD_EQTY_&amp;_HYBRID_CPTL</stp>
        <stp>FQ4 2001</stp>
        <stp>FQ4 2001</stp>
        <stp>[FA1_ivyerigx.xlsx]Bal Sheet - Standardized!R41C16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1" s="3"/>
      </tp>
      <tp>
        <v>174278</v>
        <stp/>
        <stp>##V3_BDHV12</stp>
        <stp>XOM US Equity</stp>
        <stp>TOT_LIAB_AND_EQY</stp>
        <stp>FQ4 2003</stp>
        <stp>FQ4 2003</stp>
        <stp>[FA1_ivyerigx.xlsx]Bal Sheet - Standardized!R49C24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9" s="3"/>
      </tp>
      <tp>
        <v>0</v>
        <stp/>
        <stp>##V3_BDHV12</stp>
        <stp>XOM US Equity</stp>
        <stp>BS_PFD_EQTY_&amp;_HYBRID_CPTL</stp>
        <stp>FQ4 2000</stp>
        <stp>FQ4 2000</stp>
        <stp>[FA1_ivyerigx.xlsx]Bal Sheet - Standardized!R41C12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1" s="3"/>
      </tp>
      <tp>
        <v>0</v>
        <stp/>
        <stp>##V3_BDHV12</stp>
        <stp>XOM US Equity</stp>
        <stp>CF_INCR_INVEST</stp>
        <stp>FQ4 2003</stp>
        <stp>FQ4 2003</stp>
        <stp>[FA1_ivyerigx.xlsx]Cash Flow - Standardized!R23C24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3" s="4"/>
      </tp>
      <tp>
        <v>0</v>
        <stp/>
        <stp>##V3_BDHV12</stp>
        <stp>XOM US Equity</stp>
        <stp>CF_DECR_INVEST</stp>
        <stp>FQ4 2003</stp>
        <stp>FQ4 2003</stp>
        <stp>[FA1_ivyerigx.xlsx]Cash Flow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4"/>
      </tp>
      <tp t="s">
        <v>—</v>
        <stp/>
        <stp>##V3_BDHV12</stp>
        <stp>XOM US Equity</stp>
        <stp>CF_DEF_INC_TAX</stp>
        <stp>FQ1 2006</stp>
        <stp>FQ1 2006</stp>
        <stp>[FA1_ivyerigx.xlsx]Cash Flow - Standardized!R10C33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0" s="4"/>
      </tp>
      <tp>
        <v>63.96</v>
        <stp/>
        <stp>##V3_BDHV12</stp>
        <stp>XOM US Equity</stp>
        <stp>PX_HIGH</stp>
        <stp>FQ1 2006</stp>
        <stp>FQ1 2006</stp>
        <stp>[FA1_ivyerigx.xlsx]Stock Value!R9C33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9" s="6"/>
      </tp>
      <tp>
        <v>44.875</v>
        <stp/>
        <stp>##V3_BDHV12</stp>
        <stp>XOM US Equity</stp>
        <stp>PX_HIGH</stp>
        <stp>FQ1 2001</stp>
        <stp>FQ1 2001</stp>
        <stp>[FA1_ivyerigx.xlsx]Stock Value!R9C13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9" s="6"/>
      </tp>
      <tp t="s">
        <v>—</v>
        <stp/>
        <stp>##V3_BDHV12</stp>
        <stp>XOM US Equity</stp>
        <stp>CF_DEF_INC_TAX</stp>
        <stp>FQ3 2001</stp>
        <stp>FQ3 2001</stp>
        <stp>[FA1_ivyerigx.xlsx]Cash Flow - Standardized!R10C15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0" s="4"/>
      </tp>
      <tp>
        <v>38.5</v>
        <stp/>
        <stp>##V3_BDHV12</stp>
        <stp>XOM US Equity</stp>
        <stp>PX_HIGH</stp>
        <stp>FQ3 2003</stp>
        <stp>FQ3 2003</stp>
        <stp>[FA1_ivyerigx.xlsx]Stock Value!R9C23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9" s="6"/>
      </tp>
      <tp>
        <v>0</v>
        <stp/>
        <stp>##V3_BDHV12</stp>
        <stp>XOM US Equity</stp>
        <stp>CF_INCR_INVEST</stp>
        <stp>FQ4 2002</stp>
        <stp>FQ4 2002</stp>
        <stp>[FA1_ivyerigx.xlsx]Cash Flow - Standardized!R23C20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3" s="4"/>
      </tp>
      <tp>
        <v>0</v>
        <stp/>
        <stp>##V3_BDHV12</stp>
        <stp>XOM US Equity</stp>
        <stp>CF_DECR_INVEST</stp>
        <stp>FQ4 2002</stp>
        <stp>FQ4 2002</stp>
        <stp>[FA1_ivyerigx.xlsx]Cash Flow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4"/>
      </tp>
      <tp t="s">
        <v>—</v>
        <stp/>
        <stp>##V3_BDHV12</stp>
        <stp>XOM US Equity</stp>
        <stp>CF_DEF_INC_TAX</stp>
        <stp>FQ1 2007</stp>
        <stp>FQ1 2007</stp>
        <stp>[FA1_ivyerigx.xlsx]Cash Flow - Standardized!R10C37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0" s="4"/>
      </tp>
      <tp>
        <v>39.406300000000002</v>
        <stp/>
        <stp>##V3_BDHV12</stp>
        <stp>XOM US Equity</stp>
        <stp>PX_OPEN</stp>
        <stp>FQ3 2000</stp>
        <stp>FQ3 2000</stp>
        <stp>[FA1_ivyerigx.xlsx]Stock Value!R8C11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6"/>
      </tp>
      <tp>
        <v>57.75</v>
        <stp/>
        <stp>##V3_BDHV12</stp>
        <stp>XOM US Equity</stp>
        <stp>PX_OPEN</stp>
        <stp>FQ3 2005</stp>
        <stp>FQ3 2005</stp>
        <stp>[FA1_ivyerigx.xlsx]Stock Value!R8C31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6"/>
      </tp>
      <tp>
        <v>1.24</v>
        <stp/>
        <stp>##V3_BDHV12</stp>
        <stp>XOM US Equity</stp>
        <stp>IS_BASIC_EPS_CONT_OPS</stp>
        <stp>FQ2 2005</stp>
        <stp>FQ2 2005</stp>
        <stp>[FA1_ivyerigx.xlsx]Per Share!R16C30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6" s="5"/>
      </tp>
      <tp>
        <v>0.64</v>
        <stp/>
        <stp>##V3_BDHV12</stp>
        <stp>XOM US Equity</stp>
        <stp>IS_BASIC_EPS_CONT_OPS</stp>
        <stp>FQ2 2001</stp>
        <stp>FQ2 2001</stp>
        <stp>[FA1_ivyerigx.xlsx]Per Share!R16C14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6" s="5"/>
      </tp>
      <tp>
        <v>1.38</v>
        <stp/>
        <stp>##V3_BDHV12</stp>
        <stp>XOM US Equity</stp>
        <stp>IS_BASIC_EPS_CONT_OPS</stp>
        <stp>FQ1 2006</stp>
        <stp>FQ1 2006</stp>
        <stp>[FA1_ivyerigx.xlsx]Per Share!R16C33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6" s="5"/>
      </tp>
      <tp>
        <v>0.31</v>
        <stp/>
        <stp>##V3_BDHV12</stp>
        <stp>XOM US Equity</stp>
        <stp>IS_BASIC_EPS_CONT_OPS</stp>
        <stp>FQ1 2002</stp>
        <stp>FQ1 2002</stp>
        <stp>[FA1_ivyerigx.xlsx]Per Share!R16C17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6" s="5"/>
      </tp>
      <tp>
        <v>35</v>
        <stp/>
        <stp>##V3_BDHV12</stp>
        <stp>XOM US Equity</stp>
        <stp>PX_OPEN</stp>
        <stp>FQ1 2003</stp>
        <stp>FQ1 2003</stp>
        <stp>[FA1_ivyerigx.xlsx]Stock Value!R8C21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6"/>
      </tp>
      <tp>
        <v>94.15</v>
        <stp/>
        <stp>##V3_BDHV12</stp>
        <stp>XOM US Equity</stp>
        <stp>PX_OPEN</stp>
        <stp>FQ1 2008</stp>
        <stp>FQ1 2008</stp>
        <stp>[FA1_ivyerigx.xlsx]Stock Value!R8C41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6"/>
      </tp>
      <tp t="s">
        <v>—</v>
        <stp/>
        <stp>##V3_BDHV12</stp>
        <stp>XOM US Equity</stp>
        <stp>CF_DEF_INC_TAX</stp>
        <stp>FQ3 2000</stp>
        <stp>FQ3 2000</stp>
        <stp>[FA1_ivyerigx.xlsx]Cash Flow - Standardized!R10C11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0" s="4"/>
      </tp>
      <tp>
        <v>0</v>
        <stp/>
        <stp>##V3_BDHV12</stp>
        <stp>XOM US Equity</stp>
        <stp>CF_INCR_INVEST</stp>
        <stp>FQ4 2004</stp>
        <stp>FQ4 2004</stp>
        <stp>[FA1_ivyerigx.xlsx]Cash Flow - Standardized!R23C28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3" s="4"/>
      </tp>
      <tp>
        <v>0</v>
        <stp/>
        <stp>##V3_BDHV12</stp>
        <stp>XOM US Equity</stp>
        <stp>CF_DECR_INVEST</stp>
        <stp>FQ2 2008</stp>
        <stp>FQ2 2008</stp>
        <stp>[FA1_ivyerigx.xlsx]Cash Flow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4"/>
      </tp>
      <tp>
        <v>0</v>
        <stp/>
        <stp>##V3_BDHV12</stp>
        <stp>XOM US Equity</stp>
        <stp>CF_INCR_INVEST</stp>
        <stp>FQ2 2008</stp>
        <stp>FQ2 2008</stp>
        <stp>[FA1_ivyerigx.xlsx]Cash Flow - Standardized!R23C42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3" s="4"/>
      </tp>
      <tp>
        <v>0</v>
        <stp/>
        <stp>##V3_BDHV12</stp>
        <stp>XOM US Equity</stp>
        <stp>CF_DECR_INVEST</stp>
        <stp>FQ4 2004</stp>
        <stp>FQ4 2004</stp>
        <stp>[FA1_ivyerigx.xlsx]Cash Flow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4"/>
      </tp>
      <tp t="s">
        <v>—</v>
        <stp/>
        <stp>##V3_BDHV12</stp>
        <stp>XOM US Equity</stp>
        <stp>CF_DEF_INC_TAX</stp>
        <stp>FQ3 2002</stp>
        <stp>FQ3 2002</stp>
        <stp>[FA1_ivyerigx.xlsx]Cash Flow - Standardized!R10C19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0" s="4"/>
      </tp>
      <tp>
        <v>-1551</v>
        <stp/>
        <stp>##V3_BDHV12</stp>
        <stp>XOM US Equity</stp>
        <stp>CF_DVD_PAID</stp>
        <stp>FQ3 2002</stp>
        <stp>FQ3 2002</stp>
        <stp>[FA1_ivyerigx.xlsx]Cash Flow - Standardized!R28C19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8" s="4"/>
      </tp>
      <tp>
        <v>17795</v>
        <stp/>
        <stp>##V3_BDHV12</stp>
        <stp>XOM US Equity</stp>
        <stp>EBITA</stp>
        <stp>FQ1 2008</stp>
        <stp>FQ1 2008</stp>
        <stp>[FA1_ivyerigx.xlsx]Income - Adjusted!R47C41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7" s="2"/>
      </tp>
      <tp>
        <v>-1825</v>
        <stp/>
        <stp>##V3_BDHV12</stp>
        <stp>XOM US Equity</stp>
        <stp>CF_DVD_PAID</stp>
        <stp>FQ1 2007</stp>
        <stp>FQ1 2007</stp>
        <stp>[FA1_ivyerigx.xlsx]Cash Flow - Standardized!R28C37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8" s="4"/>
      </tp>
      <tp>
        <v>-1533</v>
        <stp/>
        <stp>##V3_BDHV12</stp>
        <stp>XOM US Equity</stp>
        <stp>CF_DVD_PAID</stp>
        <stp>FQ3 2000</stp>
        <stp>FQ3 2000</stp>
        <stp>[FA1_ivyerigx.xlsx]Cash Flow - Standardized!R28C11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8" s="4"/>
      </tp>
      <tp>
        <v>-1957</v>
        <stp/>
        <stp>##V3_BDHV12</stp>
        <stp>XOM US Equity</stp>
        <stp>CF_DVD_PAID</stp>
        <stp>FQ1 2006</stp>
        <stp>FQ1 2006</stp>
        <stp>[FA1_ivyerigx.xlsx]Cash Flow - Standardized!R28C33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8" s="4"/>
      </tp>
      <tp>
        <v>-1646</v>
        <stp/>
        <stp>##V3_BDHV12</stp>
        <stp>XOM US Equity</stp>
        <stp>CF_DVD_PAID</stp>
        <stp>FQ3 2001</stp>
        <stp>FQ3 2001</stp>
        <stp>[FA1_ivyerigx.xlsx]Cash Flow - Standardized!R28C15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8" s="4"/>
      </tp>
      <tp>
        <v>3788</v>
        <stp/>
        <stp>##V3_BDHV12</stp>
        <stp>XOM US Equity</stp>
        <stp>IS_SG&amp;A_EXPENSE</stp>
        <stp>FQ2 2007</stp>
        <stp>FQ2 2007</stp>
        <stp>[FA1_ivyerigx.xlsx]Income - Adjusted!R11C38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1" s="2"/>
      </tp>
      <tp>
        <v>4490</v>
        <stp/>
        <stp>##V3_BDHV12</stp>
        <stp>XOM US Equity</stp>
        <stp>EARN_FOR_COMMON</stp>
        <stp>FQ3 2000</stp>
        <stp>FQ3 2000</stp>
        <stp>[FA1_ivyerigx.xlsx]Income - Adjusted!R29C11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29" s="2"/>
      </tp>
      <tp>
        <v>4170</v>
        <stp/>
        <stp>##V3_BDHV12</stp>
        <stp>XOM US Equity</stp>
        <stp>EARN_FOR_COMMON</stp>
        <stp>FQ2 2003</stp>
        <stp>FQ2 2003</stp>
        <stp>[FA1_ivyerigx.xlsx]Income - Adjusted!R29C22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29" s="2"/>
      </tp>
      <tp>
        <v>5440</v>
        <stp/>
        <stp>##V3_BDHV12</stp>
        <stp>XOM US Equity</stp>
        <stp>EARN_FOR_COMMON</stp>
        <stp>FQ1 2004</stp>
        <stp>FQ1 2004</stp>
        <stp>[FA1_ivyerigx.xlsx]Income - Adjusted!R29C25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29" s="2"/>
      </tp>
      <tp>
        <v>9.5297999999999998</v>
        <stp/>
        <stp>##V3_BDHV12</stp>
        <stp>XOM US Equity</stp>
        <stp>CHG_PCT_PERIOD</stp>
        <stp>FQ4 2002</stp>
        <stp>FQ4 2002</stp>
        <stp>[FA1_ivyerigx.xlsx]Stock Value!R7C20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6"/>
      </tp>
      <tp t="s">
        <v>—</v>
        <stp/>
        <stp>##V3_BDHV12</stp>
        <stp>XOM US Equity</stp>
        <stp>CHG_PCT_PERIOD</stp>
        <stp>FQ4 2007</stp>
        <stp>FQ4 2007</stp>
        <stp>[FA1_ivyerigx.xlsx]Stock Value!R7C40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6"/>
      </tp>
      <tp>
        <v>-3.5737999999999999</v>
        <stp/>
        <stp>##V3_BDHV12</stp>
        <stp>XOM US Equity</stp>
        <stp>CHG_PCT_PERIOD</stp>
        <stp>FQ2 2005</stp>
        <stp>FQ2 2005</stp>
        <stp>[FA1_ivyerigx.xlsx]Stock Value!R7C30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6"/>
      </tp>
      <tp>
        <v>0.64100000000000001</v>
        <stp/>
        <stp>##V3_BDHV12</stp>
        <stp>XOM US Equity</stp>
        <stp>CHG_PCT_PERIOD</stp>
        <stp>FQ2 2000</stp>
        <stp>FQ2 2000</stp>
        <stp>[FA1_ivyerigx.xlsx]Stock Value!R7C10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6"/>
      </tp>
      <tp>
        <v>6712</v>
        <stp/>
        <stp>##V3_BDHV12</stp>
        <stp>XOM US Equity</stp>
        <stp>IS_AVG_NUM_SH_FOR_EPS</stp>
        <stp>FQ4 2002</stp>
        <stp>FQ4 2002</stp>
        <stp>[FA1_ivyerigx.xlsx]Income - Adjusted!R33C20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3" s="2"/>
      </tp>
      <tp>
        <v>6938</v>
        <stp/>
        <stp>##V3_BDHV12</stp>
        <stp>XOM US Equity</stp>
        <stp>IS_AVG_NUM_SH_FOR_EPS</stp>
        <stp>FQ4 2000</stp>
        <stp>FQ4 2000</stp>
        <stp>[FA1_ivyerigx.xlsx]Income - Adjusted!R33C12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3" s="2"/>
      </tp>
      <tp>
        <v>6506</v>
        <stp/>
        <stp>##V3_BDHV12</stp>
        <stp>XOM US Equity</stp>
        <stp>IS_AVG_NUM_SH_FOR_EPS</stp>
        <stp>FQ2 2004</stp>
        <stp>FQ2 2004</stp>
        <stp>[FA1_ivyerigx.xlsx]Income - Adjusted!R33C26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3" s="2"/>
      </tp>
      <tp>
        <v>5971</v>
        <stp/>
        <stp>##V3_BDHV12</stp>
        <stp>XOM US Equity</stp>
        <stp>IS_AVG_NUM_SH_FOR_EPS</stp>
        <stp>FQ2 2006</stp>
        <stp>FQ2 2006</stp>
        <stp>[FA1_ivyerigx.xlsx]Income - Adjusted!R33C34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3" s="2"/>
      </tp>
      <tp>
        <v>6683</v>
        <stp/>
        <stp>##V3_BDHV12</stp>
        <stp>XOM US Equity</stp>
        <stp>IS_AVG_NUM_SH_FOR_EPS</stp>
        <stp>FQ1 2003</stp>
        <stp>FQ1 2003</stp>
        <stp>[FA1_ivyerigx.xlsx]Income - Adjusted!R33C21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3" s="2"/>
      </tp>
      <tp>
        <v>6912</v>
        <stp/>
        <stp>##V3_BDHV12</stp>
        <stp>XOM US Equity</stp>
        <stp>IS_AVG_NUM_SH_FOR_EPS</stp>
        <stp>FQ1 2001</stp>
        <stp>FQ1 2001</stp>
        <stp>[FA1_ivyerigx.xlsx]Income - Adjusted!R33C13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3" s="2"/>
      </tp>
      <tp>
        <v>0.35</v>
        <stp/>
        <stp>##V3_BDHV12</stp>
        <stp>XOM US Equity</stp>
        <stp>EQY_DPS</stp>
        <stp>FQ3 2007</stp>
        <stp>FQ3 2007</stp>
        <stp>[FA1_ivyerigx.xlsx]Per Share!R20C39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0" s="5"/>
      </tp>
      <tp>
        <v>-20.521100000000001</v>
        <stp/>
        <stp>##V3_BDHV12</stp>
        <stp>XOM US Equity</stp>
        <stp>NET_DEBT_TO_SHRHLDR_EQTY</stp>
        <stp>FQ2 2006</stp>
        <stp>FQ2 2006</stp>
        <stp>[FA1_ivyerigx.xlsx]Bal Sheet - Standardized!R61C34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61" s="3"/>
      </tp>
      <tp>
        <v>-20.7088</v>
        <stp/>
        <stp>##V3_BDHV12</stp>
        <stp>XOM US Equity</stp>
        <stp>NET_DEBT_TO_SHRHLDR_EQTY</stp>
        <stp>FQ3 2006</stp>
        <stp>FQ3 2006</stp>
        <stp>[FA1_ivyerigx.xlsx]Bal Sheet - Standardized!R61C35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61" s="3"/>
      </tp>
      <tp>
        <v>-6.4626000000000001</v>
        <stp/>
        <stp>##V3_BDHV12</stp>
        <stp>XOM US Equity</stp>
        <stp>NET_DEBT_TO_SHRHLDR_EQTY</stp>
        <stp>FQ1 2004</stp>
        <stp>FQ1 2004</stp>
        <stp>[FA1_ivyerigx.xlsx]Bal Sheet - Standardized!R61C25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61" s="3"/>
      </tp>
      <tp>
        <v>-6.2854999999999999</v>
        <stp/>
        <stp>##V3_BDHV12</stp>
        <stp>XOM US Equity</stp>
        <stp>NET_DEBT_TO_SHRHLDR_EQTY</stp>
        <stp>FQ3 2004</stp>
        <stp>FQ3 2004</stp>
        <stp>[FA1_ivyerigx.xlsx]Bal Sheet - Standardized!R61C27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61" s="3"/>
      </tp>
      <tp>
        <v>-4.6475</v>
        <stp/>
        <stp>##V3_BDHV12</stp>
        <stp>XOM US Equity</stp>
        <stp>NET_DEBT_TO_SHRHLDR_EQTY</stp>
        <stp>FQ2 2004</stp>
        <stp>FQ2 2004</stp>
        <stp>[FA1_ivyerigx.xlsx]Bal Sheet - Standardized!R61C26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61" s="3"/>
      </tp>
      <tp>
        <v>1969</v>
        <stp/>
        <stp>##V3_BDHV12</stp>
        <stp>XOM US Equity</stp>
        <stp>BS_NUM_OF_TSY_SH</stp>
        <stp>FQ1 2006</stp>
        <stp>FQ1 2006</stp>
        <stp>[FA1_ivyerigx.xlsx]Bal Sheet - Standardized!R54C33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4" s="3"/>
      </tp>
      <tp>
        <v>2290</v>
        <stp/>
        <stp>##V3_BDHV12</stp>
        <stp>XOM US Equity</stp>
        <stp>BS_NUM_OF_TSY_SH</stp>
        <stp>FQ4 2006</stp>
        <stp>FQ4 2006</stp>
        <stp>[FA1_ivyerigx.xlsx]Bal Sheet - Standardized!R54C36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4" s="3"/>
      </tp>
      <tp>
        <v>2314</v>
        <stp/>
        <stp>##V3_BDHV12</stp>
        <stp>XOM US Equity</stp>
        <stp>IS_SG&amp;A_EXPENSE</stp>
        <stp>FQ1 1999</stp>
        <stp>FQ1 1999</stp>
        <stp>[FA1_ivyerigx.xlsx]Income - Adjusted!R11C5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2"/>
      </tp>
      <tp>
        <v>2276</v>
        <stp/>
        <stp>##V3_BDHV12</stp>
        <stp>XOM US Equity</stp>
        <stp>IS_SG&amp;A_EXPENSE</stp>
        <stp>FQ2 1999</stp>
        <stp>FQ2 1999</stp>
        <stp>[FA1_ivyerigx.xlsx]Income - Adjusted!R11C6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2"/>
      </tp>
      <tp>
        <v>1785</v>
        <stp/>
        <stp>##V3_BDHV12</stp>
        <stp>XOM US Equity</stp>
        <stp>IS_SG&amp;A_EXPENSE</stp>
        <stp>FQ3 1999</stp>
        <stp>FQ3 1999</stp>
        <stp>[FA1_ivyerigx.xlsx]Income - Adjusted!R11C7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2"/>
      </tp>
      <tp>
        <v>1237</v>
        <stp/>
        <stp>##V3_BDHV12</stp>
        <stp>XOM US Equity</stp>
        <stp>BS_NUM_OF_TSY_SH</stp>
        <stp>FQ1 2002</stp>
        <stp>FQ1 2002</stp>
        <stp>[FA1_ivyerigx.xlsx]Bal Sheet - Standardized!R54C17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4" s="3"/>
      </tp>
      <tp>
        <v>-377</v>
        <stp/>
        <stp>##V3_BDHV12</stp>
        <stp>XOM US Equity</stp>
        <stp>OTHER_NON_CASH_ADJ_LESS_DETAILED</stp>
        <stp>FQ1 2008</stp>
        <stp>FQ1 2008</stp>
        <stp>[FA1_ivyerigx.xlsx]Cash Flow - Standardized!R11C41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1" s="4"/>
      </tp>
      <tp>
        <v>-286</v>
        <stp/>
        <stp>##V3_BDHV12</stp>
        <stp>XOM US Equity</stp>
        <stp>PROC_FR_REPAYMNTS_BOR_DETAILED</stp>
        <stp>FQ2 2005</stp>
        <stp>FQ2 2005</stp>
        <stp>[FA1_ivyerigx.xlsx]Cash Flow - Standardized!R29C30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9" s="4"/>
      </tp>
      <tp>
        <v>-152</v>
        <stp/>
        <stp>##V3_BDHV12</stp>
        <stp>XOM US Equity</stp>
        <stp>PROC_FR_REPAYMNTS_BOR_DETAILED</stp>
        <stp>FQ3 2004</stp>
        <stp>FQ3 2004</stp>
        <stp>[FA1_ivyerigx.xlsx]Cash Flow - Standardized!R29C27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9" s="4"/>
      </tp>
      <tp>
        <v>206</v>
        <stp/>
        <stp>##V3_BDHV12</stp>
        <stp>XOM US Equity</stp>
        <stp>PROC_FR_REPAYMNTS_BOR_DETAILED</stp>
        <stp>FQ2 2006</stp>
        <stp>FQ2 2006</stp>
        <stp>[FA1_ivyerigx.xlsx]Cash Flow - Standardized!R29C34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9" s="4"/>
      </tp>
      <tp>
        <v>-636</v>
        <stp/>
        <stp>##V3_BDHV12</stp>
        <stp>XOM US Equity</stp>
        <stp>PROC_FR_REPAYMNTS_BOR_DETAILED</stp>
        <stp>FQ3 2003</stp>
        <stp>FQ3 2003</stp>
        <stp>[FA1_ivyerigx.xlsx]Cash Flow - Standardized!R29C23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9" s="4"/>
      </tp>
      <tp>
        <v>1.8395999999999999</v>
        <stp/>
        <stp>##V3_BDHV12</stp>
        <stp>XOM US Equity</stp>
        <stp>FREE_CASH_FLOW_PER_SH</stp>
        <stp>FQ3 2006</stp>
        <stp>FQ3 2006</stp>
        <stp>[FA1_ivyerigx.xlsx]Per Share!R23C35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3" s="5"/>
      </tp>
      <tp>
        <v>1.0235000000000001</v>
        <stp/>
        <stp>##V3_BDHV12</stp>
        <stp>XOM US Equity</stp>
        <stp>FREE_CASH_FLOW_PER_SH</stp>
        <stp>FQ3 2004</stp>
        <stp>FQ3 2004</stp>
        <stp>[FA1_ivyerigx.xlsx]Per Share!R23C27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3" s="5"/>
      </tp>
      <tp>
        <v>-61</v>
        <stp/>
        <stp>##V3_BDHV12</stp>
        <stp>XOM US Equity</stp>
        <stp>PROC_FR_REPAYMNTS_BOR_DETAILED</stp>
        <stp>FQ2 2007</stp>
        <stp>FQ2 2007</stp>
        <stp>[FA1_ivyerigx.xlsx]Cash Flow - Standardized!R29C38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9" s="4"/>
      </tp>
      <tp>
        <v>222819</v>
        <stp/>
        <stp>##V3_BDHV12</stp>
        <stp>XOM US Equity</stp>
        <stp>TOT_LIAB_AND_EQY</stp>
        <stp>FQ4 2006</stp>
        <stp>FQ4 2006</stp>
        <stp>[FA1_ivyerigx.xlsx]Bal Sheet - Standardized!R49C36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9" s="3"/>
      </tp>
      <tp>
        <v>1378</v>
        <stp/>
        <stp>##V3_BDHV12</stp>
        <stp>XOM US Equity</stp>
        <stp>OTHER_NON_CASH_ADJ_LESS_DETAILED</stp>
        <stp>FQ4 2001</stp>
        <stp>FQ4 2001</stp>
        <stp>[FA1_ivyerigx.xlsx]Cash Flow - Standardized!R11C16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1" s="4"/>
      </tp>
      <tp>
        <v>208335</v>
        <stp/>
        <stp>##V3_BDHV12</stp>
        <stp>XOM US Equity</stp>
        <stp>TOT_LIAB_AND_EQY</stp>
        <stp>FQ4 2005</stp>
        <stp>FQ4 2005</stp>
        <stp>[FA1_ivyerigx.xlsx]Bal Sheet - Standardized!R49C32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9" s="3"/>
      </tp>
      <tp>
        <v>673</v>
        <stp/>
        <stp>##V3_BDHV12</stp>
        <stp>XOM US Equity</stp>
        <stp>OTHER_NON_CASH_ADJ_LESS_DETAILED</stp>
        <stp>FQ4 2000</stp>
        <stp>FQ4 2000</stp>
        <stp>[FA1_ivyerigx.xlsx]Cash Flow - Standardized!R11C12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1" s="4"/>
      </tp>
      <tp>
        <v>4856</v>
        <stp/>
        <stp>##V3_BDHV12</stp>
        <stp>XOM US Equity</stp>
        <stp>BS_SH_OUT</stp>
        <stp>FQ4 1998</stp>
        <stp>FQ4 1998</stp>
        <stp>[FA1_ivyerigx.xlsx]Per Share!R6C4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5"/>
      </tp>
      <tp>
        <v>0</v>
        <stp/>
        <stp>##V3_BDHV12</stp>
        <stp>XOM US Equity</stp>
        <stp>CF_INCR_INVEST</stp>
        <stp>FQ4 2005</stp>
        <stp>FQ4 2005</stp>
        <stp>[FA1_ivyerigx.xlsx]Cash Flow - Standardized!R23C32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3" s="4"/>
      </tp>
      <tp>
        <v>0</v>
        <stp/>
        <stp>##V3_BDHV12</stp>
        <stp>XOM US Equity</stp>
        <stp>CF_DECR_INVEST</stp>
        <stp>FQ4 2005</stp>
        <stp>FQ4 2005</stp>
        <stp>[FA1_ivyerigx.xlsx]Cash Flow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4"/>
      </tp>
      <tp t="s">
        <v>—</v>
        <stp/>
        <stp>##V3_BDHV12</stp>
        <stp>XOM US Equity</stp>
        <stp>CF_DEF_INC_TAX</stp>
        <stp>FQ2 2001</stp>
        <stp>FQ2 2001</stp>
        <stp>[FA1_ivyerigx.xlsx]Cash Flow - Standardized!R10C14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0" s="4"/>
      </tp>
      <tp>
        <v>38.450000000000003</v>
        <stp/>
        <stp>##V3_BDHV12</stp>
        <stp>XOM US Equity</stp>
        <stp>PX_HIGH</stp>
        <stp>FQ2 2003</stp>
        <stp>FQ2 2003</stp>
        <stp>[FA1_ivyerigx.xlsx]Stock Value!R9C22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9" s="6"/>
      </tp>
      <tp>
        <v>96.12</v>
        <stp/>
        <stp>##V3_BDHV12</stp>
        <stp>XOM US Equity</stp>
        <stp>PX_HIGH</stp>
        <stp>FQ2 2008</stp>
        <stp>FQ2 2008</stp>
        <stp>[FA1_ivyerigx.xlsx]Stock Value!R9C42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9" s="6"/>
      </tp>
      <tp>
        <v>92.45</v>
        <stp/>
        <stp>##V3_BDHV12</stp>
        <stp>XOM US Equity</stp>
        <stp>PX_OPEN</stp>
        <stp>FQ4 2007</stp>
        <stp>FQ4 2007</stp>
        <stp>[FA1_ivyerigx.xlsx]Stock Value!R8C40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6"/>
      </tp>
      <tp>
        <v>32.18</v>
        <stp/>
        <stp>##V3_BDHV12</stp>
        <stp>XOM US Equity</stp>
        <stp>PX_OPEN</stp>
        <stp>FQ4 2002</stp>
        <stp>FQ4 2002</stp>
        <stp>[FA1_ivyerigx.xlsx]Stock Value!R8C20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6"/>
      </tp>
      <tp>
        <v>47.718800000000002</v>
        <stp/>
        <stp>##V3_BDHV12</stp>
        <stp>XOM US Equity</stp>
        <stp>PX_HIGH</stp>
        <stp>FQ4 2000</stp>
        <stp>FQ4 2000</stp>
        <stp>[FA1_ivyerigx.xlsx]Stock Value!R9C12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9" s="6"/>
      </tp>
      <tp>
        <v>63.89</v>
        <stp/>
        <stp>##V3_BDHV12</stp>
        <stp>XOM US Equity</stp>
        <stp>PX_HIGH</stp>
        <stp>FQ4 2005</stp>
        <stp>FQ4 2005</stp>
        <stp>[FA1_ivyerigx.xlsx]Stock Value!R9C32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9" s="6"/>
      </tp>
      <tp t="s">
        <v>—</v>
        <stp/>
        <stp>##V3_BDHV12</stp>
        <stp>XOM US Equity</stp>
        <stp>CF_DEF_INC_TAX</stp>
        <stp>FQ1 2004</stp>
        <stp>FQ1 2004</stp>
        <stp>[FA1_ivyerigx.xlsx]Cash Flow - Standardized!R10C25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0" s="4"/>
      </tp>
      <tp>
        <v>38.875</v>
        <stp/>
        <stp>##V3_BDHV12</stp>
        <stp>XOM US Equity</stp>
        <stp>PX_OPEN</stp>
        <stp>FQ2 2000</stp>
        <stp>FQ2 2000</stp>
        <stp>[FA1_ivyerigx.xlsx]Stock Value!R8C10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6"/>
      </tp>
      <tp>
        <v>60.2</v>
        <stp/>
        <stp>##V3_BDHV12</stp>
        <stp>XOM US Equity</stp>
        <stp>PX_OPEN</stp>
        <stp>FQ2 2005</stp>
        <stp>FQ2 2005</stp>
        <stp>[FA1_ivyerigx.xlsx]Stock Value!R8C30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6"/>
      </tp>
      <tp>
        <v>0</v>
        <stp/>
        <stp>##V3_BDHV12</stp>
        <stp>XOM US Equity</stp>
        <stp>CF_INCR_INVEST</stp>
        <stp>FQ4 2006</stp>
        <stp>FQ4 2006</stp>
        <stp>[FA1_ivyerigx.xlsx]Cash Flow - Standardized!R23C36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3" s="4"/>
      </tp>
      <tp>
        <v>0</v>
        <stp/>
        <stp>##V3_BDHV12</stp>
        <stp>XOM US Equity</stp>
        <stp>CF_DECR_INVEST</stp>
        <stp>FQ4 2006</stp>
        <stp>FQ4 2006</stp>
        <stp>[FA1_ivyerigx.xlsx]Cash Flow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4"/>
      </tp>
      <tp t="s">
        <v>—</v>
        <stp/>
        <stp>##V3_BDHV12</stp>
        <stp>XOM US Equity</stp>
        <stp>CF_DEF_INC_TAX</stp>
        <stp>FQ1 2003</stp>
        <stp>FQ1 2003</stp>
        <stp>[FA1_ivyerigx.xlsx]Cash Flow - Standardized!R10C21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0" s="4"/>
      </tp>
      <tp>
        <v>1.34</v>
        <stp/>
        <stp>##V3_BDHV12</stp>
        <stp>XOM US Equity</stp>
        <stp>IS_BASIC_EPS_CONT_OPS</stp>
        <stp>FQ3 2005</stp>
        <stp>FQ3 2005</stp>
        <stp>[FA1_ivyerigx.xlsx]Per Share!R16C31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6" s="5"/>
      </tp>
      <tp>
        <v>0.46</v>
        <stp/>
        <stp>##V3_BDHV12</stp>
        <stp>XOM US Equity</stp>
        <stp>IS_BASIC_EPS_CONT_OPS</stp>
        <stp>FQ3 2001</stp>
        <stp>FQ3 2001</stp>
        <stp>[FA1_ivyerigx.xlsx]Per Share!R16C15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6" s="5"/>
      </tp>
      <tp>
        <v>4862.46</v>
        <stp/>
        <stp>##V3_BDHV12</stp>
        <stp>XOM US Equity</stp>
        <stp>BS_SH_OUT</stp>
        <stp>FQ3 1998</stp>
        <stp>FQ3 1998</stp>
        <stp>[FA1_ivyerigx.xlsx]Per Share!R6C3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5"/>
      </tp>
      <tp t="s">
        <v>—</v>
        <stp/>
        <stp>##V3_BDHV12</stp>
        <stp>XOM US Equity</stp>
        <stp>CF_DEF_INC_TAX</stp>
        <stp>FQ2 2000</stp>
        <stp>FQ2 2000</stp>
        <stp>[FA1_ivyerigx.xlsx]Cash Flow - Standardized!R10C10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0" s="4"/>
      </tp>
      <tp t="s">
        <v>—</v>
        <stp/>
        <stp>##V3_BDHV12</stp>
        <stp>XOM US Equity</stp>
        <stp>CF_DEF_INC_TAX</stp>
        <stp>FQ1 2005</stp>
        <stp>FQ1 2005</stp>
        <stp>[FA1_ivyerigx.xlsx]Cash Flow - Standardized!R10C29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0" s="4"/>
      </tp>
      <tp t="s">
        <v>—</v>
        <stp/>
        <stp>##V3_BDHV12</stp>
        <stp>XOM US Equity</stp>
        <stp>CF_DEF_INC_TAX</stp>
        <stp>FQ2 2002</stp>
        <stp>FQ2 2002</stp>
        <stp>[FA1_ivyerigx.xlsx]Cash Flow - Standardized!R10C18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0" s="4"/>
      </tp>
      <tp>
        <v>-1558</v>
        <stp/>
        <stp>##V3_BDHV12</stp>
        <stp>XOM US Equity</stp>
        <stp>CF_DVD_PAID</stp>
        <stp>FQ2 2002</stp>
        <stp>FQ2 2002</stp>
        <stp>[FA1_ivyerigx.xlsx]Cash Flow - Standardized!R28C18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8" s="4"/>
      </tp>
      <tp>
        <v>-1728</v>
        <stp/>
        <stp>##V3_BDHV12</stp>
        <stp>XOM US Equity</stp>
        <stp>CF_DVD_PAID</stp>
        <stp>FQ1 2005</stp>
        <stp>FQ1 2005</stp>
        <stp>[FA1_ivyerigx.xlsx]Cash Flow - Standardized!R28C29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8" s="4"/>
      </tp>
      <tp>
        <v>-1642</v>
        <stp/>
        <stp>##V3_BDHV12</stp>
        <stp>XOM US Equity</stp>
        <stp>CF_DVD_PAID</stp>
        <stp>FQ1 2004</stp>
        <stp>FQ1 2004</stp>
        <stp>[FA1_ivyerigx.xlsx]Cash Flow - Standardized!R28C25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8" s="4"/>
      </tp>
      <tp>
        <v>-1532</v>
        <stp/>
        <stp>##V3_BDHV12</stp>
        <stp>XOM US Equity</stp>
        <stp>CF_DVD_PAID</stp>
        <stp>FQ2 2000</stp>
        <stp>FQ2 2000</stp>
        <stp>[FA1_ivyerigx.xlsx]Cash Flow - Standardized!R28C10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8" s="4"/>
      </tp>
      <tp>
        <v>-1541</v>
        <stp/>
        <stp>##V3_BDHV12</stp>
        <stp>XOM US Equity</stp>
        <stp>CF_DVD_PAID</stp>
        <stp>FQ1 2003</stp>
        <stp>FQ1 2003</stp>
        <stp>[FA1_ivyerigx.xlsx]Cash Flow - Standardized!R28C21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8" s="4"/>
      </tp>
      <tp>
        <v>-1515</v>
        <stp/>
        <stp>##V3_BDHV12</stp>
        <stp>XOM US Equity</stp>
        <stp>CF_DVD_PAID</stp>
        <stp>FQ2 2001</stp>
        <stp>FQ2 2001</stp>
        <stp>[FA1_ivyerigx.xlsx]Cash Flow - Standardized!R28C14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8" s="4"/>
      </tp>
      <tp>
        <v>3656</v>
        <stp/>
        <stp>##V3_BDHV12</stp>
        <stp>XOM US Equity</stp>
        <stp>IS_SG&amp;A_EXPENSE</stp>
        <stp>FQ3 2007</stp>
        <stp>FQ3 2007</stp>
        <stp>[FA1_ivyerigx.xlsx]Income - Adjusted!R11C39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1" s="2"/>
      </tp>
      <tp>
        <v>77004</v>
        <stp/>
        <stp>##V3_BDHV12</stp>
        <stp>XOM US Equity</stp>
        <stp>BS_PURE_RETAINED_EARNINGS</stp>
        <stp>FQ1 2000</stp>
        <stp>FQ1 2000</stp>
        <stp>[FA1_ivyerigx.xlsx]Bal Sheet - Standardized!R44C9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4" s="3"/>
      </tp>
      <tp>
        <v>10026</v>
        <stp/>
        <stp>##V3_BDHV12</stp>
        <stp>XOM US Equity</stp>
        <stp>EBITDA</stp>
        <stp>FQ4 1999</stp>
        <stp>FQ4 1999</stp>
        <stp>[FA1_ivyerigx.xlsx]Cash Flow - Standardized!R42C8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42" s="4"/>
      </tp>
      <tp>
        <v>3650</v>
        <stp/>
        <stp>##V3_BDHV12</stp>
        <stp>XOM US Equity</stp>
        <stp>EARN_FOR_COMMON</stp>
        <stp>FQ3 2003</stp>
        <stp>FQ3 2003</stp>
        <stp>[FA1_ivyerigx.xlsx]Income - Adjusted!R29C23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29" s="2"/>
      </tp>
      <tp>
        <v>4530</v>
        <stp/>
        <stp>##V3_BDHV12</stp>
        <stp>XOM US Equity</stp>
        <stp>EARN_FOR_COMMON</stp>
        <stp>FQ2 2000</stp>
        <stp>FQ2 2000</stp>
        <stp>[FA1_ivyerigx.xlsx]Income - Adjusted!R29C10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29" s="2"/>
      </tp>
      <tp>
        <v>9280</v>
        <stp/>
        <stp>##V3_BDHV12</stp>
        <stp>XOM US Equity</stp>
        <stp>EARN_FOR_COMMON</stp>
        <stp>FQ1 2007</stp>
        <stp>FQ1 2007</stp>
        <stp>[FA1_ivyerigx.xlsx]Income - Adjusted!R29C37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29" s="2"/>
      </tp>
      <tp>
        <v>10250</v>
        <stp/>
        <stp>##V3_BDHV12</stp>
        <stp>XOM US Equity</stp>
        <stp>EARN_FOR_COMMON</stp>
        <stp>FQ4 2006</stp>
        <stp>FQ4 2006</stp>
        <stp>[FA1_ivyerigx.xlsx]Income - Adjusted!R29C36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29" s="2"/>
      </tp>
      <tp>
        <v>123</v>
        <stp/>
        <stp>##V3_BDHV12</stp>
        <stp>XOM US Equity</stp>
        <stp>IS_NET_INTEREST_EXPENSE</stp>
        <stp>FQ4 2005</stp>
        <stp>FQ4 2005</stp>
        <stp>[FA1_ivyerigx.xlsx]Income - Adjusted!R13C32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3" s="2"/>
      </tp>
      <tp>
        <v>128</v>
        <stp/>
        <stp>##V3_BDHV12</stp>
        <stp>XOM US Equity</stp>
        <stp>IS_NET_INTEREST_EXPENSE</stp>
        <stp>FQ4 2007</stp>
        <stp>FQ4 2007</stp>
        <stp>[FA1_ivyerigx.xlsx]Income - Adjusted!R13C40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3" s="2"/>
      </tp>
      <tp>
        <v>54</v>
        <stp/>
        <stp>##V3_BDHV12</stp>
        <stp>XOM US Equity</stp>
        <stp>IS_NET_INTEREST_EXPENSE</stp>
        <stp>FQ4 2003</stp>
        <stp>FQ4 2003</stp>
        <stp>[FA1_ivyerigx.xlsx]Income - Adjusted!R13C24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3" s="2"/>
      </tp>
      <tp>
        <v>70</v>
        <stp/>
        <stp>##V3_BDHV12</stp>
        <stp>XOM US Equity</stp>
        <stp>IS_NET_INTEREST_EXPENSE</stp>
        <stp>FQ4 2001</stp>
        <stp>FQ4 2001</stp>
        <stp>[FA1_ivyerigx.xlsx]Income - Adjusted!R13C16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3" s="2"/>
      </tp>
      <tp>
        <v>2.86E-2</v>
        <stp/>
        <stp>##V3_BDHV12</stp>
        <stp>XOM US Equity</stp>
        <stp>CHG_PCT_PERIOD</stp>
        <stp>FQ1 2003</stp>
        <stp>FQ1 2003</stp>
        <stp>[FA1_ivyerigx.xlsx]Stock Value!R7C21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6"/>
      </tp>
      <tp>
        <v>-9.7235999999999994</v>
        <stp/>
        <stp>##V3_BDHV12</stp>
        <stp>XOM US Equity</stp>
        <stp>CHG_PCT_PERIOD</stp>
        <stp>FQ1 2008</stp>
        <stp>FQ1 2008</stp>
        <stp>[FA1_ivyerigx.xlsx]Stock Value!R7C41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6"/>
      </tp>
      <tp>
        <v>10.561999999999999</v>
        <stp/>
        <stp>##V3_BDHV12</stp>
        <stp>XOM US Equity</stp>
        <stp>CHG_PCT_PERIOD</stp>
        <stp>FQ3 2005</stp>
        <stp>FQ3 2005</stp>
        <stp>[FA1_ivyerigx.xlsx]Stock Value!R7C31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6"/>
      </tp>
      <tp>
        <v>13.510199999999999</v>
        <stp/>
        <stp>##V3_BDHV12</stp>
        <stp>XOM US Equity</stp>
        <stp>CHG_PCT_PERIOD</stp>
        <stp>FQ3 2000</stp>
        <stp>FQ3 2000</stp>
        <stp>[FA1_ivyerigx.xlsx]Stock Value!R7C11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6"/>
      </tp>
      <tp>
        <v>0.6</v>
        <stp/>
        <stp>##V3_BDHV12</stp>
        <stp>XOM US Equity</stp>
        <stp>IS_EARN_BEF_XO_ITEMS_PER_SH</stp>
        <stp>FQ4 1999</stp>
        <stp>FQ4 1999</stp>
        <stp>[FA1_ivyerigx.xlsx]Per Share!R15C8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5" s="5"/>
      </tp>
      <tp>
        <v>6464</v>
        <stp/>
        <stp>##V3_BDHV12</stp>
        <stp>XOM US Equity</stp>
        <stp>IS_AVG_NUM_SH_FOR_EPS</stp>
        <stp>FQ3 2004</stp>
        <stp>FQ3 2004</stp>
        <stp>[FA1_ivyerigx.xlsx]Income - Adjusted!R33C27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3" s="2"/>
      </tp>
      <tp>
        <v>5861</v>
        <stp/>
        <stp>##V3_BDHV12</stp>
        <stp>XOM US Equity</stp>
        <stp>IS_AVG_NUM_SH_FOR_EPS</stp>
        <stp>FQ3 2006</stp>
        <stp>FQ3 2006</stp>
        <stp>[FA1_ivyerigx.xlsx]Income - Adjusted!R33C35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3" s="2"/>
      </tp>
      <tp>
        <v>-18.604900000000001</v>
        <stp/>
        <stp>##V3_BDHV12</stp>
        <stp>XOM US Equity</stp>
        <stp>NET_DEBT_TO_SHRHLDR_EQTY</stp>
        <stp>FQ1 2007</stp>
        <stp>FQ1 2007</stp>
        <stp>[FA1_ivyerigx.xlsx]Bal Sheet - Standardized!R61C37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61" s="3"/>
      </tp>
      <tp>
        <v>0.35</v>
        <stp/>
        <stp>##V3_BDHV12</stp>
        <stp>XOM US Equity</stp>
        <stp>EQY_DPS</stp>
        <stp>FQ2 2007</stp>
        <stp>FQ2 2007</stp>
        <stp>[FA1_ivyerigx.xlsx]Per Share!R20C38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0" s="5"/>
      </tp>
      <tp>
        <v>6650</v>
        <stp/>
        <stp>##V3_BDHV12</stp>
        <stp>XOM US Equity</stp>
        <stp>CF_NET_INC</stp>
        <stp>FQ4 2003</stp>
        <stp>FQ4 2003</stp>
        <stp>[FA1_ivyerigx.xlsx]Cash Flow - Standardized!R7C24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7" s="4"/>
      </tp>
      <tp>
        <v>4170</v>
        <stp/>
        <stp>##V3_BDHV12</stp>
        <stp>XOM US Equity</stp>
        <stp>CF_NET_INC</stp>
        <stp>FQ2 2003</stp>
        <stp>FQ2 2003</stp>
        <stp>[FA1_ivyerigx.xlsx]Cash Flow - Standardized!R7C22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7" s="4"/>
      </tp>
      <tp>
        <v>3650</v>
        <stp/>
        <stp>##V3_BDHV12</stp>
        <stp>XOM US Equity</stp>
        <stp>CF_NET_INC</stp>
        <stp>FQ3 2003</stp>
        <stp>FQ3 2003</stp>
        <stp>[FA1_ivyerigx.xlsx]Cash Flow - Standardized!R7C23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7" s="4"/>
      </tp>
      <tp>
        <v>7040</v>
        <stp/>
        <stp>##V3_BDHV12</stp>
        <stp>XOM US Equity</stp>
        <stp>CF_NET_INC</stp>
        <stp>FQ1 2003</stp>
        <stp>FQ1 2003</stp>
        <stp>[FA1_ivyerigx.xlsx]Cash Flow - Standardized!R7C21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7" s="4"/>
      </tp>
      <tp>
        <v>104791</v>
        <stp/>
        <stp>##V3_BDHV12</stp>
        <stp>XOM US Equity</stp>
        <stp>SALES_REV_TURN</stp>
        <stp>FQ1 2008</stp>
        <stp>FQ1 2008</stp>
        <stp>[FA1_ivyerigx.xlsx]Income - Adjusted!R6C41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6" s="2"/>
      </tp>
      <tp>
        <v>124238</v>
        <stp/>
        <stp>##V3_BDHV12</stp>
        <stp>XOM US Equity</stp>
        <stp>SALES_REV_TURN</stp>
        <stp>FQ2 2008</stp>
        <stp>FQ2 2008</stp>
        <stp>[FA1_ivyerigx.xlsx]Income - Adjusted!R6C42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6" s="2"/>
      </tp>
      <tp>
        <v>5440</v>
        <stp/>
        <stp>##V3_BDHV12</stp>
        <stp>XOM US Equity</stp>
        <stp>CF_NET_INC</stp>
        <stp>FQ1 2004</stp>
        <stp>FQ1 2004</stp>
        <stp>[FA1_ivyerigx.xlsx]Cash Flow - Standardized!R7C25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7" s="4"/>
      </tp>
      <tp>
        <v>5680</v>
        <stp/>
        <stp>##V3_BDHV12</stp>
        <stp>XOM US Equity</stp>
        <stp>CF_NET_INC</stp>
        <stp>FQ3 2004</stp>
        <stp>FQ3 2004</stp>
        <stp>[FA1_ivyerigx.xlsx]Cash Flow - Standardized!R7C27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7" s="4"/>
      </tp>
      <tp>
        <v>4090</v>
        <stp/>
        <stp>##V3_BDHV12</stp>
        <stp>XOM US Equity</stp>
        <stp>CF_NET_INC</stp>
        <stp>FQ4 2002</stp>
        <stp>FQ4 2002</stp>
        <stp>[FA1_ivyerigx.xlsx]Cash Flow - Standardized!R7C20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7" s="4"/>
      </tp>
      <tp>
        <v>5790</v>
        <stp/>
        <stp>##V3_BDHV12</stp>
        <stp>XOM US Equity</stp>
        <stp>CF_NET_INC</stp>
        <stp>FQ2 2004</stp>
        <stp>FQ2 2004</stp>
        <stp>[FA1_ivyerigx.xlsx]Cash Flow - Standardized!R7C26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7" s="4"/>
      </tp>
      <tp>
        <v>73830</v>
        <stp/>
        <stp>##V3_BDHV12</stp>
        <stp>XOM US Equity</stp>
        <stp>SALES_REV_TURN</stp>
        <stp>FQ4 2004</stp>
        <stp>FQ4 2004</stp>
        <stp>[FA1_ivyerigx.xlsx]Income - Adjusted!R6C28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6" s="2"/>
      </tp>
      <tp>
        <v>7860</v>
        <stp/>
        <stp>##V3_BDHV12</stp>
        <stp>XOM US Equity</stp>
        <stp>CF_NET_INC</stp>
        <stp>FQ1 2005</stp>
        <stp>FQ1 2005</stp>
        <stp>[FA1_ivyerigx.xlsx]Cash Flow - Standardized!R7C29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7" s="4"/>
      </tp>
      <tp>
        <v>47495</v>
        <stp/>
        <stp>##V3_BDHV12</stp>
        <stp>XOM US Equity</stp>
        <stp>SALES_REV_TURN</stp>
        <stp>FQ3 2002</stp>
        <stp>FQ3 2002</stp>
        <stp>[FA1_ivyerigx.xlsx]Income - Adjusted!R6C19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6" s="2"/>
      </tp>
      <tp>
        <v>44427</v>
        <stp/>
        <stp>##V3_BDHV12</stp>
        <stp>XOM US Equity</stp>
        <stp>SALES_REV_TURN</stp>
        <stp>FQ2 2002</stp>
        <stp>FQ2 2002</stp>
        <stp>[FA1_ivyerigx.xlsx]Income - Adjusted!R6C18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6" s="2"/>
      </tp>
      <tp>
        <v>8420</v>
        <stp/>
        <stp>##V3_BDHV12</stp>
        <stp>XOM US Equity</stp>
        <stp>CF_NET_INC</stp>
        <stp>FQ4 2004</stp>
        <stp>FQ4 2004</stp>
        <stp>[FA1_ivyerigx.xlsx]Cash Flow - Standardized!R7C28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7" s="4"/>
      </tp>
      <tp>
        <v>11172</v>
        <stp/>
        <stp>##V3_BDHV12</stp>
        <stp>XOM US Equity</stp>
        <stp>IS_INC_BEF_XO_ITEM</stp>
        <stp>FQ1 2008</stp>
        <stp>FQ1 2008</stp>
        <stp>[FA1_ivyerigx.xlsx]Income - Adjusted!R20C41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2"/>
      </tp>
      <tp>
        <v>36.409999999999997</v>
        <stp/>
        <stp>##V3_BDHV12</stp>
        <stp>XOM US Equity</stp>
        <stp>PX_LOW</stp>
        <stp>FQ4 2001</stp>
        <stp>FQ4 2001</stp>
        <stp>[FA1_ivyerigx.xlsx]Stock Value!R10C16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0" s="6"/>
      </tp>
      <tp>
        <v>7.2834000000000003</v>
        <stp/>
        <stp>##V3_BDHV12</stp>
        <stp>XOM US Equity</stp>
        <stp>PROF_MARGIN</stp>
        <stp>FQ1 2000</stp>
        <stp>FQ1 2000</stp>
        <stp>[FA1_ivyerigx.xlsx]Income - Adjusted!R51C9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1" s="2"/>
      </tp>
      <tp>
        <v>57.6</v>
        <stp/>
        <stp>##V3_BDHV12</stp>
        <stp>XOM US Equity</stp>
        <stp>PX_LOW</stp>
        <stp>FQ3 2005</stp>
        <stp>FQ3 2005</stp>
        <stp>[FA1_ivyerigx.xlsx]Stock Value!R10C31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0" s="6"/>
      </tp>
      <tp>
        <v>52.78</v>
        <stp/>
        <stp>##V3_BDHV12</stp>
        <stp>XOM US Equity</stp>
        <stp>PX_LOW</stp>
        <stp>FQ2 2005</stp>
        <stp>FQ2 2005</stp>
        <stp>[FA1_ivyerigx.xlsx]Stock Value!R10C30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0" s="6"/>
      </tp>
      <tp>
        <v>56.42</v>
        <stp/>
        <stp>##V3_BDHV12</stp>
        <stp>XOM US Equity</stp>
        <stp>PX_LOW</stp>
        <stp>FQ1 2006</stp>
        <stp>FQ1 2006</stp>
        <stp>[FA1_ivyerigx.xlsx]Stock Value!R10C33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0" s="6"/>
      </tp>
      <tp>
        <v>37.6</v>
        <stp/>
        <stp>##V3_BDHV12</stp>
        <stp>XOM US Equity</stp>
        <stp>PX_LOW</stp>
        <stp>FQ1 2001</stp>
        <stp>FQ1 2001</stp>
        <stp>[FA1_ivyerigx.xlsx]Stock Value!R10C13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0" s="6"/>
      </tp>
      <tp>
        <v>37.5</v>
        <stp/>
        <stp>##V3_BDHV12</stp>
        <stp>XOM US Equity</stp>
        <stp>PX_LOW</stp>
        <stp>FQ2 2000</stp>
        <stp>FQ2 2000</stp>
        <stp>[FA1_ivyerigx.xlsx]Stock Value!R10C10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0" s="6"/>
      </tp>
      <tp>
        <v>64.84</v>
        <stp/>
        <stp>##V3_BDHV12</stp>
        <stp>XOM US Equity</stp>
        <stp>PX_LOW</stp>
        <stp>FQ4 2006</stp>
        <stp>FQ4 2006</stp>
        <stp>[FA1_ivyerigx.xlsx]Stock Value!R10C36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0" s="6"/>
      </tp>
      <tp>
        <v>37.5625</v>
        <stp/>
        <stp>##V3_BDHV12</stp>
        <stp>XOM US Equity</stp>
        <stp>PX_LOW</stp>
        <stp>FQ3 2000</stp>
        <stp>FQ3 2000</stp>
        <stp>[FA1_ivyerigx.xlsx]Stock Value!R10C11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0" s="6"/>
      </tp>
      <tp t="s">
        <v>—</v>
        <stp/>
        <stp>##V3_BDHV12</stp>
        <stp>XOM US Equity</stp>
        <stp>BS_OPTIONS_OUTSTANDING</stp>
        <stp>FQ4 1998</stp>
        <stp>FQ4 1998</stp>
        <stp>[FA1_ivyerigx.xlsx]Bal Sheet - Standardized!R59C4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9" s="3"/>
      </tp>
      <tp t="s">
        <v>—</v>
        <stp/>
        <stp>##V3_BDHV12</stp>
        <stp>XOM US Equity</stp>
        <stp>BS_OPTIONS_OUTSTANDING</stp>
        <stp>FQ3 1998</stp>
        <stp>FQ3 1998</stp>
        <stp>[FA1_ivyerigx.xlsx]Bal Sheet - Standardized!R59C3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9" s="3"/>
      </tp>
      <tp>
        <v>-3335</v>
        <stp/>
        <stp>##V3_BDHV12</stp>
        <stp>XOM US Equity</stp>
        <stp>CF_CASH_FROM_INV_ACT</stp>
        <stp>FQ3 2003</stp>
        <stp>FQ3 2003</stp>
        <stp>[FA1_ivyerigx.xlsx]Cash Flow - Standardized!R25C23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5" s="4"/>
      </tp>
      <tp>
        <v>242422</v>
        <stp/>
        <stp>##V3_BDHV12</stp>
        <stp>XOM US Equity</stp>
        <stp>BS_GROSS_FIX_ASSET</stp>
        <stp>FQ4 2004</stp>
        <stp>FQ4 2004</stp>
        <stp>[FA1_ivyerigx.xlsx]Bal Sheet - Standardized!R20C28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3"/>
      </tp>
      <tp t="s">
        <v>—</v>
        <stp/>
        <stp>##V3_BDHV12</stp>
        <stp>XOM US Equity</stp>
        <stp>BS_GROSS_FIX_ASSET</stp>
        <stp>FQ2 2008</stp>
        <stp>FQ2 2008</stp>
        <stp>[FA1_ivyerigx.xlsx]Bal Sheet - Standardized!R20C42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3"/>
      </tp>
      <tp>
        <v>-3273</v>
        <stp/>
        <stp>##V3_BDHV12</stp>
        <stp>XOM US Equity</stp>
        <stp>CF_CASH_FROM_INV_ACT</stp>
        <stp>FQ2 2006</stp>
        <stp>FQ2 2006</stp>
        <stp>[FA1_ivyerigx.xlsx]Cash Flow - Standardized!R25C34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5" s="4"/>
      </tp>
      <tp>
        <v>-2870</v>
        <stp/>
        <stp>##V3_BDHV12</stp>
        <stp>XOM US Equity</stp>
        <stp>CF_CASH_FROM_INV_ACT</stp>
        <stp>FQ3 2004</stp>
        <stp>FQ3 2004</stp>
        <stp>[FA1_ivyerigx.xlsx]Cash Flow - Standardized!R25C27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5" s="4"/>
      </tp>
      <tp>
        <v>4217</v>
        <stp/>
        <stp>##V3_BDHV12</stp>
        <stp>XOM US Equity</stp>
        <stp>BS_SH_CAP_AND_APIC</stp>
        <stp>FQ4 2002</stp>
        <stp>FQ4 2002</stp>
        <stp>[FA1_ivyerigx.xlsx]Bal Sheet - Standardized!R42C20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2" s="3"/>
      </tp>
      <tp>
        <v>-2128</v>
        <stp/>
        <stp>##V3_BDHV12</stp>
        <stp>XOM US Equity</stp>
        <stp>CF_CASH_FROM_INV_ACT</stp>
        <stp>FQ2 2005</stp>
        <stp>FQ2 2005</stp>
        <stp>[FA1_ivyerigx.xlsx]Cash Flow - Standardized!R25C30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5" s="4"/>
      </tp>
      <tp>
        <v>-556</v>
        <stp/>
        <stp>##V3_BDHV12</stp>
        <stp>XOM US Equity</stp>
        <stp>OTHER_INVESTING_ACT_DETAILED</stp>
        <stp>FQ3 2007</stp>
        <stp>FQ3 2007</stp>
        <stp>[FA1_ivyerigx.xlsx]Cash Flow - Standardized!R24C39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4" s="4"/>
      </tp>
      <tp>
        <v>4468</v>
        <stp/>
        <stp>##V3_BDHV12</stp>
        <stp>XOM US Equity</stp>
        <stp>BS_SH_CAP_AND_APIC</stp>
        <stp>FQ4 2003</stp>
        <stp>FQ4 2003</stp>
        <stp>[FA1_ivyerigx.xlsx]Bal Sheet - Standardized!R42C24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2" s="3"/>
      </tp>
      <tp>
        <v>-273</v>
        <stp/>
        <stp>##V3_BDHV12</stp>
        <stp>XOM US Equity</stp>
        <stp>OTHER_INVESTING_ACT_DETAILED</stp>
        <stp>FQ3 2006</stp>
        <stp>FQ3 2006</stp>
        <stp>[FA1_ivyerigx.xlsx]Cash Flow - Standardized!R24C35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4" s="4"/>
      </tp>
      <tp>
        <v>-4565</v>
        <stp/>
        <stp>##V3_BDHV12</stp>
        <stp>XOM US Equity</stp>
        <stp>OTHER_INVESTING_ACT_DETAILED</stp>
        <stp>FQ2 2004</stp>
        <stp>FQ2 2004</stp>
        <stp>[FA1_ivyerigx.xlsx]Cash Flow - Standardized!R24C26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4" s="4"/>
      </tp>
      <tp>
        <v>130</v>
        <stp/>
        <stp>##V3_BDHV12</stp>
        <stp>XOM US Equity</stp>
        <stp>IS_INT_EXPENSE</stp>
        <stp>FQ1 2008</stp>
        <stp>FQ1 2008</stp>
        <stp>[FA1_ivyerigx.xlsx]Income - Adjusted!R14C41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4" s="2"/>
      </tp>
      <tp>
        <v>229315</v>
        <stp/>
        <stp>##V3_BDHV12</stp>
        <stp>XOM US Equity</stp>
        <stp>BS_GROSS_FIX_ASSET</stp>
        <stp>FQ4 2003</stp>
        <stp>FQ4 2003</stp>
        <stp>[FA1_ivyerigx.xlsx]Bal Sheet - Standardized!R20C24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3"/>
      </tp>
      <tp>
        <v>-590</v>
        <stp/>
        <stp>##V3_BDHV12</stp>
        <stp>XOM US Equity</stp>
        <stp>OTHER_INVESTING_ACT_DETAILED</stp>
        <stp>FQ2 2003</stp>
        <stp>FQ2 2003</stp>
        <stp>[FA1_ivyerigx.xlsx]Cash Flow - Standardized!R24C22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4" s="4"/>
      </tp>
      <tp>
        <v>649</v>
        <stp/>
        <stp>##V3_BDHV12</stp>
        <stp>XOM US Equity</stp>
        <stp>OTHER_INVESTING_ACT_DETAILED</stp>
        <stp>FQ1 2001</stp>
        <stp>FQ1 2001</stp>
        <stp>[FA1_ivyerigx.xlsx]Cash Flow - Standardized!R24C13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4" s="4"/>
      </tp>
      <tp>
        <v>3115</v>
        <stp/>
        <stp>##V3_BDHV12</stp>
        <stp>XOM US Equity</stp>
        <stp>OTHER_INVESTING_ACT_DETAILED</stp>
        <stp>FQ4 2007</stp>
        <stp>FQ4 2007</stp>
        <stp>[FA1_ivyerigx.xlsx]Cash Flow - Standardized!R24C40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4" s="4"/>
      </tp>
      <tp>
        <v>421</v>
        <stp/>
        <stp>##V3_BDHV12</stp>
        <stp>XOM US Equity</stp>
        <stp>OTHER_INVESTING_ACT_DETAILED</stp>
        <stp>FQ1 2002</stp>
        <stp>FQ1 2002</stp>
        <stp>[FA1_ivyerigx.xlsx]Cash Flow - Standardized!R24C17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4" s="4"/>
      </tp>
      <tp>
        <v>5067</v>
        <stp/>
        <stp>##V3_BDHV12</stp>
        <stp>XOM US Equity</stp>
        <stp>BS_SH_CAP_AND_APIC</stp>
        <stp>FQ4 2004</stp>
        <stp>FQ4 2004</stp>
        <stp>[FA1_ivyerigx.xlsx]Bal Sheet - Standardized!R42C28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2" s="3"/>
      </tp>
      <tp>
        <v>4904</v>
        <stp/>
        <stp>##V3_BDHV12</stp>
        <stp>XOM US Equity</stp>
        <stp>BS_SH_CAP_AND_APIC</stp>
        <stp>FQ2 2008</stp>
        <stp>FQ2 2008</stp>
        <stp>[FA1_ivyerigx.xlsx]Bal Sheet - Standardized!R42C42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2" s="3"/>
      </tp>
      <tp>
        <v>-3085</v>
        <stp/>
        <stp>##V3_BDHV12</stp>
        <stp>XOM US Equity</stp>
        <stp>CF_CASH_FROM_INV_ACT</stp>
        <stp>FQ2 2007</stp>
        <stp>FQ2 2007</stp>
        <stp>[FA1_ivyerigx.xlsx]Cash Flow - Standardized!R25C38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5" s="4"/>
      </tp>
      <tp>
        <v>-1427</v>
        <stp/>
        <stp>##V3_BDHV12</stp>
        <stp>XOM US Equity</stp>
        <stp>OTHER_INVESTING_ACT_DETAILED</stp>
        <stp>FQ3 2005</stp>
        <stp>FQ3 2005</stp>
        <stp>[FA1_ivyerigx.xlsx]Cash Flow - Standardized!R24C31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4" s="4"/>
      </tp>
      <tp>
        <v>204960</v>
        <stp/>
        <stp>##V3_BDHV12</stp>
        <stp>XOM US Equity</stp>
        <stp>BS_GROSS_FIX_ASSET</stp>
        <stp>FQ4 2002</stp>
        <stp>FQ4 2002</stp>
        <stp>[FA1_ivyerigx.xlsx]Bal Sheet - Standardized!R20C20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3"/>
      </tp>
      <tp>
        <v>1644</v>
        <stp/>
        <stp>##V3_BDHV12</stp>
        <stp>XOM US Equity</stp>
        <stp>CF_CASH_PAID_FOR_TAX</stp>
        <stp>FQ1 2002</stp>
        <stp>FQ1 2002</stp>
        <stp>[FA1_ivyerigx.xlsx]Cash Flow - Standardized!R38C17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8" s="4"/>
      </tp>
      <tp>
        <v>4237</v>
        <stp/>
        <stp>##V3_BDHV12</stp>
        <stp>XOM US Equity</stp>
        <stp>CF_CASH_PAID_FOR_TAX</stp>
        <stp>FQ3 2005</stp>
        <stp>FQ3 2005</stp>
        <stp>[FA1_ivyerigx.xlsx]Cash Flow - Standardized!R38C31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8" s="4"/>
      </tp>
      <tp>
        <v>6416</v>
        <stp/>
        <stp>##V3_BDHV12</stp>
        <stp>XOM US Equity</stp>
        <stp>CF_CASH_PAID_FOR_TAX</stp>
        <stp>FQ3 2006</stp>
        <stp>FQ3 2006</stp>
        <stp>[FA1_ivyerigx.xlsx]Cash Flow - Standardized!R38C35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8" s="4"/>
      </tp>
      <tp>
        <v>3529</v>
        <stp/>
        <stp>##V3_BDHV12</stp>
        <stp>XOM US Equity</stp>
        <stp>CF_CASH_PAID_FOR_TAX</stp>
        <stp>FQ2 2004</stp>
        <stp>FQ2 2004</stp>
        <stp>[FA1_ivyerigx.xlsx]Cash Flow - Standardized!R38C26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8" s="4"/>
      </tp>
      <tp>
        <v>2802</v>
        <stp/>
        <stp>##V3_BDHV12</stp>
        <stp>XOM US Equity</stp>
        <stp>CF_CASH_PAID_FOR_TAX</stp>
        <stp>FQ2 2003</stp>
        <stp>FQ2 2003</stp>
        <stp>[FA1_ivyerigx.xlsx]Cash Flow - Standardized!R38C22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8" s="4"/>
      </tp>
      <tp>
        <v>1491</v>
        <stp/>
        <stp>##V3_BDHV12</stp>
        <stp>XOM US Equity</stp>
        <stp>CF_CASH_PAID_FOR_TAX</stp>
        <stp>FQ1 2001</stp>
        <stp>FQ1 2001</stp>
        <stp>[FA1_ivyerigx.xlsx]Cash Flow - Standardized!R38C13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8" s="4"/>
      </tp>
      <tp>
        <v>8395</v>
        <stp/>
        <stp>##V3_BDHV12</stp>
        <stp>XOM US Equity</stp>
        <stp>CF_CASH_PAID_FOR_TAX</stp>
        <stp>FQ4 2007</stp>
        <stp>FQ4 2007</stp>
        <stp>[FA1_ivyerigx.xlsx]Cash Flow - Standardized!R38C40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8" s="4"/>
      </tp>
      <tp>
        <v>5565</v>
        <stp/>
        <stp>##V3_BDHV12</stp>
        <stp>XOM US Equity</stp>
        <stp>CF_CASH_PAID_FOR_TAX</stp>
        <stp>FQ3 2007</stp>
        <stp>FQ3 2007</stp>
        <stp>[FA1_ivyerigx.xlsx]Cash Flow - Standardized!R38C39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8" s="4"/>
      </tp>
      <tp>
        <v>16429</v>
        <stp/>
        <stp>##V3_BDHV12</stp>
        <stp>XOM US Equity</stp>
        <stp>BS_CUR_ASSET_REPORT</stp>
        <stp>FQ2 1999</stp>
        <stp>FQ2 1999</stp>
        <stp>[FA1_ivyerigx.xlsx]Bal Sheet - Standardized!R18C6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18048</v>
        <stp/>
        <stp>##V3_BDHV12</stp>
        <stp>XOM US Equity</stp>
        <stp>BS_CUR_ASSET_REPORT</stp>
        <stp>FQ3 1999</stp>
        <stp>FQ3 1999</stp>
        <stp>[FA1_ivyerigx.xlsx]Bal Sheet - Standardized!R18C7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16709</v>
        <stp/>
        <stp>##V3_BDHV12</stp>
        <stp>XOM US Equity</stp>
        <stp>BS_CUR_ASSET_REPORT</stp>
        <stp>FQ1 1999</stp>
        <stp>FQ1 1999</stp>
        <stp>[FA1_ivyerigx.xlsx]Bal Sheet - Standardized!R18C5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8" s="3"/>
      </tp>
      <tp>
        <v>17593</v>
        <stp/>
        <stp>##V3_BDHV12</stp>
        <stp>XOM US Equity</stp>
        <stp>BS_CUR_ASSET_REPORT</stp>
        <stp>FQ4 1998</stp>
        <stp>FQ4 1998</stp>
        <stp>[FA1_ivyerigx.xlsx]Bal Sheet - Standardized!R18C4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18077</v>
        <stp/>
        <stp>##V3_BDHV12</stp>
        <stp>XOM US Equity</stp>
        <stp>BS_CUR_ASSET_REPORT</stp>
        <stp>FQ3 1998</stp>
        <stp>FQ3 1998</stp>
        <stp>[FA1_ivyerigx.xlsx]Bal Sheet - Standardized!R18C3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31141</v>
        <stp/>
        <stp>##V3_BDHV12</stp>
        <stp>XOM US Equity</stp>
        <stp>BS_CUR_ASSET_REPORT</stp>
        <stp>FQ4 1999</stp>
        <stp>FQ4 1999</stp>
        <stp>[FA1_ivyerigx.xlsx]Bal Sheet - Standardized!R18C8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32107</v>
        <stp/>
        <stp>##V3_BDHV12</stp>
        <stp>XOM US Equity</stp>
        <stp>BS_ACCT_PAYABLE</stp>
        <stp>FQ3 2004</stp>
        <stp>FQ3 2004</stp>
        <stp>[FA1_ivyerigx.xlsx]Bal Sheet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3"/>
      </tp>
      <tp>
        <v>39302</v>
        <stp/>
        <stp>##V3_BDHV12</stp>
        <stp>XOM US Equity</stp>
        <stp>BS_ACCT_PAYABLE</stp>
        <stp>FQ2 2006</stp>
        <stp>FQ2 2006</stp>
        <stp>[FA1_ivyerigx.xlsx]Bal Sheet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3"/>
      </tp>
      <tp>
        <v>27731</v>
        <stp/>
        <stp>##V3_BDHV12</stp>
        <stp>XOM US Equity</stp>
        <stp>BS_ACCT_PAYABLE</stp>
        <stp>FQ3 2003</stp>
        <stp>FQ3 2003</stp>
        <stp>[FA1_ivyerigx.xlsx]Bal Sheet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3"/>
      </tp>
      <tp t="s">
        <v>—</v>
        <stp/>
        <stp>##V3_BDHV12</stp>
        <stp>XOM US Equity</stp>
        <stp>BS_ACCTS_REC_EXCL_NOTES_REC</stp>
        <stp>FQ1 2000</stp>
        <stp>FQ1 2000</stp>
        <stp>[FA1_ivyerigx.xlsx]Bal Sheet - Standardized!R11C9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1" s="3"/>
      </tp>
      <tp>
        <v>36185</v>
        <stp/>
        <stp>##V3_BDHV12</stp>
        <stp>XOM US Equity</stp>
        <stp>BS_ACCT_PAYABLE</stp>
        <stp>FQ2 2005</stp>
        <stp>FQ2 2005</stp>
        <stp>[FA1_ivyerigx.xlsx]Bal Sheet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3"/>
      </tp>
      <tp>
        <v>41247</v>
        <stp/>
        <stp>##V3_BDHV12</stp>
        <stp>XOM US Equity</stp>
        <stp>BS_ACCT_PAYABLE</stp>
        <stp>FQ2 2007</stp>
        <stp>FQ2 2007</stp>
        <stp>[FA1_ivyerigx.xlsx]Bal Sheet - Standardized!R31C38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3"/>
      </tp>
      <tp>
        <v>7640</v>
        <stp/>
        <stp>##V3_BDHV12</stp>
        <stp>XOM US Equity</stp>
        <stp>CF_NET_INC</stp>
        <stp>FQ2 2005</stp>
        <stp>FQ2 2005</stp>
        <stp>[FA1_ivyerigx.xlsx]Cash Flow - Standardized!R7C30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7" s="4"/>
      </tp>
      <tp>
        <v>8400</v>
        <stp/>
        <stp>##V3_BDHV12</stp>
        <stp>XOM US Equity</stp>
        <stp>CF_NET_INC</stp>
        <stp>FQ1 2006</stp>
        <stp>FQ1 2006</stp>
        <stp>[FA1_ivyerigx.xlsx]Cash Flow - Standardized!R7C33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7" s="4"/>
      </tp>
      <tp>
        <v>9920</v>
        <stp/>
        <stp>##V3_BDHV12</stp>
        <stp>XOM US Equity</stp>
        <stp>CF_NET_INC</stp>
        <stp>FQ3 2005</stp>
        <stp>FQ3 2005</stp>
        <stp>[FA1_ivyerigx.xlsx]Cash Flow - Standardized!R7C31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7" s="4"/>
      </tp>
      <tp>
        <v>10250</v>
        <stp/>
        <stp>##V3_BDHV12</stp>
        <stp>XOM US Equity</stp>
        <stp>CF_NET_INC</stp>
        <stp>FQ4 2006</stp>
        <stp>FQ4 2006</stp>
        <stp>[FA1_ivyerigx.xlsx]Cash Flow - Standardized!R7C36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7" s="4"/>
      </tp>
      <tp>
        <v>10490</v>
        <stp/>
        <stp>##V3_BDHV12</stp>
        <stp>XOM US Equity</stp>
        <stp>CF_NET_INC</stp>
        <stp>FQ3 2006</stp>
        <stp>FQ3 2006</stp>
        <stp>[FA1_ivyerigx.xlsx]Cash Flow - Standardized!R7C35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7" s="4"/>
      </tp>
      <tp>
        <v>10360</v>
        <stp/>
        <stp>##V3_BDHV12</stp>
        <stp>XOM US Equity</stp>
        <stp>CF_NET_INC</stp>
        <stp>FQ2 2006</stp>
        <stp>FQ2 2006</stp>
        <stp>[FA1_ivyerigx.xlsx]Cash Flow - Standardized!R7C34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7" s="4"/>
      </tp>
      <tp>
        <v>9280</v>
        <stp/>
        <stp>##V3_BDHV12</stp>
        <stp>XOM US Equity</stp>
        <stp>CF_NET_INC</stp>
        <stp>FQ1 2007</stp>
        <stp>FQ1 2007</stp>
        <stp>[FA1_ivyerigx.xlsx]Cash Flow - Standardized!R7C37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7" s="4"/>
      </tp>
      <tp>
        <v>10710</v>
        <stp/>
        <stp>##V3_BDHV12</stp>
        <stp>XOM US Equity</stp>
        <stp>CF_NET_INC</stp>
        <stp>FQ4 2005</stp>
        <stp>FQ4 2005</stp>
        <stp>[FA1_ivyerigx.xlsx]Cash Flow - Standardized!R7C32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7" s="4"/>
      </tp>
      <tp>
        <v>10260</v>
        <stp/>
        <stp>##V3_BDHV12</stp>
        <stp>XOM US Equity</stp>
        <stp>CF_NET_INC</stp>
        <stp>FQ2 2007</stp>
        <stp>FQ2 2007</stp>
        <stp>[FA1_ivyerigx.xlsx]Cash Flow - Standardized!R7C38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7" s="4"/>
      </tp>
      <tp>
        <v>9410</v>
        <stp/>
        <stp>##V3_BDHV12</stp>
        <stp>XOM US Equity</stp>
        <stp>CF_NET_INC</stp>
        <stp>FQ3 2007</stp>
        <stp>FQ3 2007</stp>
        <stp>[FA1_ivyerigx.xlsx]Cash Flow - Standardized!R7C39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7" s="4"/>
      </tp>
      <tp>
        <v>0</v>
        <stp/>
        <stp>##V3_BDHV12</stp>
        <stp>XOM US Equity</stp>
        <stp>INVTRY_IN_PROGRESS</stp>
        <stp>FQ1 2000</stp>
        <stp>FQ1 2000</stp>
        <stp>[FA1_ivyerigx.xlsx]Bal Sheet - Standardized!R14C9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337</v>
        <stp/>
        <stp>##V3_BDHV12</stp>
        <stp>XOM US Equity</stp>
        <stp>CF_CASH_FROM_INV_ACT</stp>
        <stp>FQ4 2007</stp>
        <stp>FQ4 2007</stp>
        <stp>[FA1_ivyerigx.xlsx]Cash Flow - Standardized!R25C40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5" s="4"/>
      </tp>
      <tp>
        <v>-3636</v>
        <stp/>
        <stp>##V3_BDHV12</stp>
        <stp>XOM US Equity</stp>
        <stp>CF_CASH_FROM_INV_ACT</stp>
        <stp>FQ2 2003</stp>
        <stp>FQ2 2003</stp>
        <stp>[FA1_ivyerigx.xlsx]Cash Flow - Standardized!R25C22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5" s="4"/>
      </tp>
      <tp>
        <v>-1092</v>
        <stp/>
        <stp>##V3_BDHV12</stp>
        <stp>XOM US Equity</stp>
        <stp>CF_CASH_FROM_INV_ACT</stp>
        <stp>FQ1 2001</stp>
        <stp>FQ1 2001</stp>
        <stp>[FA1_ivyerigx.xlsx]Cash Flow - Standardized!R25C13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5" s="4"/>
      </tp>
      <tp>
        <v>4786</v>
        <stp/>
        <stp>##V3_BDHV12</stp>
        <stp>XOM US Equity</stp>
        <stp>BS_SH_CAP_AND_APIC</stp>
        <stp>FQ4 2006</stp>
        <stp>FQ4 2006</stp>
        <stp>[FA1_ivyerigx.xlsx]Bal Sheet - Standardized!R42C36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2" s="3"/>
      </tp>
      <tp>
        <v>-3988</v>
        <stp/>
        <stp>##V3_BDHV12</stp>
        <stp>XOM US Equity</stp>
        <stp>CF_CASH_FROM_INV_ACT</stp>
        <stp>FQ3 2006</stp>
        <stp>FQ3 2006</stp>
        <stp>[FA1_ivyerigx.xlsx]Cash Flow - Standardized!R25C35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5" s="4"/>
      </tp>
      <tp>
        <v>-6569</v>
        <stp/>
        <stp>##V3_BDHV12</stp>
        <stp>XOM US Equity</stp>
        <stp>CF_CASH_FROM_INV_ACT</stp>
        <stp>FQ2 2004</stp>
        <stp>FQ2 2004</stp>
        <stp>[FA1_ivyerigx.xlsx]Cash Flow - Standardized!R25C26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5" s="4"/>
      </tp>
      <tp>
        <v>-4165</v>
        <stp/>
        <stp>##V3_BDHV12</stp>
        <stp>XOM US Equity</stp>
        <stp>CF_CASH_FROM_INV_ACT</stp>
        <stp>FQ3 2005</stp>
        <stp>FQ3 2005</stp>
        <stp>[FA1_ivyerigx.xlsx]Cash Flow - Standardized!R25C31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5" s="4"/>
      </tp>
      <tp>
        <v>-434</v>
        <stp/>
        <stp>##V3_BDHV12</stp>
        <stp>XOM US Equity</stp>
        <stp>OTHER_INVESTING_ACT_DETAILED</stp>
        <stp>FQ2 2007</stp>
        <stp>FQ2 2007</stp>
        <stp>[FA1_ivyerigx.xlsx]Cash Flow - Standardized!R24C38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4" s="4"/>
      </tp>
      <tp>
        <v>-1237</v>
        <stp/>
        <stp>##V3_BDHV12</stp>
        <stp>XOM US Equity</stp>
        <stp>CF_CASH_FROM_INV_ACT</stp>
        <stp>FQ1 2002</stp>
        <stp>FQ1 2002</stp>
        <stp>[FA1_ivyerigx.xlsx]Cash Flow - Standardized!R25C17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5" s="4"/>
      </tp>
      <tp>
        <v>5743</v>
        <stp/>
        <stp>##V3_BDHV12</stp>
        <stp>XOM US Equity</stp>
        <stp>BS_SH_CAP_AND_APIC</stp>
        <stp>FQ4 2005</stp>
        <stp>FQ4 2005</stp>
        <stp>[FA1_ivyerigx.xlsx]Bal Sheet - Standardized!R42C32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2" s="3"/>
      </tp>
      <tp>
        <v>977</v>
        <stp/>
        <stp>##V3_BDHV12</stp>
        <stp>XOM US Equity</stp>
        <stp>OTHER_INVESTING_ACT_DETAILED</stp>
        <stp>FQ2 2006</stp>
        <stp>FQ2 2006</stp>
        <stp>[FA1_ivyerigx.xlsx]Cash Flow - Standardized!R24C34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4" s="4"/>
      </tp>
      <tp>
        <v>-603</v>
        <stp/>
        <stp>##V3_BDHV12</stp>
        <stp>XOM US Equity</stp>
        <stp>OTHER_INVESTING_ACT_DETAILED</stp>
        <stp>FQ3 2004</stp>
        <stp>FQ3 2004</stp>
        <stp>[FA1_ivyerigx.xlsx]Cash Flow - Standardized!R24C27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4" s="4"/>
      </tp>
      <tp>
        <v>240294</v>
        <stp/>
        <stp>##V3_BDHV12</stp>
        <stp>XOM US Equity</stp>
        <stp>BS_GROSS_FIX_ASSET</stp>
        <stp>FQ4 2005</stp>
        <stp>FQ4 2005</stp>
        <stp>[FA1_ivyerigx.xlsx]Bal Sheet - Standardized!R20C32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3"/>
      </tp>
      <tp>
        <v>-502</v>
        <stp/>
        <stp>##V3_BDHV12</stp>
        <stp>XOM US Equity</stp>
        <stp>OTHER_INVESTING_ACT_DETAILED</stp>
        <stp>FQ3 2003</stp>
        <stp>FQ3 2003</stp>
        <stp>[FA1_ivyerigx.xlsx]Cash Flow - Standardized!R24C23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4" s="4"/>
      </tp>
      <tp>
        <v>259284</v>
        <stp/>
        <stp>##V3_BDHV12</stp>
        <stp>XOM US Equity</stp>
        <stp>BS_GROSS_FIX_ASSET</stp>
        <stp>FQ4 2006</stp>
        <stp>FQ4 2006</stp>
        <stp>[FA1_ivyerigx.xlsx]Bal Sheet - Standardized!R20C36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3"/>
      </tp>
      <tp>
        <v>-3742</v>
        <stp/>
        <stp>##V3_BDHV12</stp>
        <stp>XOM US Equity</stp>
        <stp>CF_CASH_FROM_INV_ACT</stp>
        <stp>FQ3 2007</stp>
        <stp>FQ3 2007</stp>
        <stp>[FA1_ivyerigx.xlsx]Cash Flow - Standardized!R25C39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5" s="4"/>
      </tp>
      <tp>
        <v>-422</v>
        <stp/>
        <stp>##V3_BDHV12</stp>
        <stp>XOM US Equity</stp>
        <stp>OTHER_INVESTING_ACT_DETAILED</stp>
        <stp>FQ2 2005</stp>
        <stp>FQ2 2005</stp>
        <stp>[FA1_ivyerigx.xlsx]Cash Flow - Standardized!R24C30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4" s="4"/>
      </tp>
      <tp>
        <v>7047</v>
        <stp/>
        <stp>##V3_BDHV12</stp>
        <stp>XOM US Equity</stp>
        <stp>CF_CASH_PAID_FOR_TAX</stp>
        <stp>FQ2 2005</stp>
        <stp>FQ2 2005</stp>
        <stp>[FA1_ivyerigx.xlsx]Cash Flow - Standardized!R38C30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8" s="4"/>
      </tp>
      <tp>
        <v>8133</v>
        <stp/>
        <stp>##V3_BDHV12</stp>
        <stp>XOM US Equity</stp>
        <stp>CF_CASH_PAID_FOR_TAX</stp>
        <stp>FQ2 2006</stp>
        <stp>FQ2 2006</stp>
        <stp>[FA1_ivyerigx.xlsx]Cash Flow - Standardized!R38C34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8" s="4"/>
      </tp>
      <tp>
        <v>3461</v>
        <stp/>
        <stp>##V3_BDHV12</stp>
        <stp>XOM US Equity</stp>
        <stp>CF_CASH_PAID_FOR_TAX</stp>
        <stp>FQ3 2004</stp>
        <stp>FQ3 2004</stp>
        <stp>[FA1_ivyerigx.xlsx]Cash Flow - Standardized!R38C27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8" s="4"/>
      </tp>
      <tp>
        <v>1268</v>
        <stp/>
        <stp>##V3_BDHV12</stp>
        <stp>XOM US Equity</stp>
        <stp>CF_CASH_PAID_FOR_TAX</stp>
        <stp>FQ3 2003</stp>
        <stp>FQ3 2003</stp>
        <stp>[FA1_ivyerigx.xlsx]Cash Flow - Standardized!R38C23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8" s="4"/>
      </tp>
      <tp>
        <v>8384</v>
        <stp/>
        <stp>##V3_BDHV12</stp>
        <stp>XOM US Equity</stp>
        <stp>CF_CASH_PAID_FOR_TAX</stp>
        <stp>FQ2 2007</stp>
        <stp>FQ2 2007</stp>
        <stp>[FA1_ivyerigx.xlsx]Cash Flow - Standardized!R38C38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8" s="4"/>
      </tp>
      <tp>
        <v>4793</v>
        <stp/>
        <stp>##V3_BDHV12</stp>
        <stp>XOM US Equity</stp>
        <stp>OTHER_NONCURRENT_ASSETS_DETAILED</stp>
        <stp>FQ4 1999</stp>
        <stp>FQ4 1999</stp>
        <stp>[FA1_ivyerigx.xlsx]Bal Sheet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3"/>
      </tp>
      <tp>
        <v>3404</v>
        <stp/>
        <stp>##V3_BDHV12</stp>
        <stp>XOM US Equity</stp>
        <stp>OTHER_NONCURRENT_ASSETS_DETAILED</stp>
        <stp>FQ4 1998</stp>
        <stp>FQ4 1998</stp>
        <stp>[FA1_ivyerigx.xlsx]Bal Sheet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3"/>
      </tp>
      <tp>
        <v>8873</v>
        <stp/>
        <stp>##V3_BDHV12</stp>
        <stp>XOM US Equity</stp>
        <stp>OTHER_NONCURRENT_ASSETS_DETAILED</stp>
        <stp>FQ3 1998</stp>
        <stp>FQ3 1998</stp>
        <stp>[FA1_ivyerigx.xlsx]Bal Sheet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3"/>
      </tp>
      <tp>
        <v>0</v>
        <stp/>
        <stp>##V3_BDHV12</stp>
        <stp>XOM US Equity</stp>
        <stp>OTHER_NONCURRENT_ASSETS_DETAILED</stp>
        <stp>FQ3 1999</stp>
        <stp>FQ3 1999</stp>
        <stp>[FA1_ivyerigx.xlsx]Bal Sheet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3"/>
      </tp>
      <tp>
        <v>0</v>
        <stp/>
        <stp>##V3_BDHV12</stp>
        <stp>XOM US Equity</stp>
        <stp>OTHER_NONCURRENT_ASSETS_DETAILED</stp>
        <stp>FQ2 1999</stp>
        <stp>FQ2 1999</stp>
        <stp>[FA1_ivyerigx.xlsx]Bal Sheet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3"/>
      </tp>
      <tp>
        <v>0</v>
        <stp/>
        <stp>##V3_BDHV12</stp>
        <stp>XOM US Equity</stp>
        <stp>OTHER_NONCURRENT_ASSETS_DETAILED</stp>
        <stp>FQ1 1999</stp>
        <stp>FQ1 1999</stp>
        <stp>[FA1_ivyerigx.xlsx]Bal Sheet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3"/>
      </tp>
      <tp>
        <v>30184</v>
        <stp/>
        <stp>##V3_BDHV12</stp>
        <stp>XOM US Equity</stp>
        <stp>BS_ACCT_PAYABLE</stp>
        <stp>FQ2 2004</stp>
        <stp>FQ2 2004</stp>
        <stp>[FA1_ivyerigx.xlsx]Bal Sheet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3"/>
      </tp>
      <tp>
        <v>40225</v>
        <stp/>
        <stp>##V3_BDHV12</stp>
        <stp>XOM US Equity</stp>
        <stp>BS_ACCT_PAYABLE</stp>
        <stp>FQ3 2006</stp>
        <stp>FQ3 2006</stp>
        <stp>[FA1_ivyerigx.xlsx]Bal Sheet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3"/>
      </tp>
      <tp>
        <v>45275</v>
        <stp/>
        <stp>##V3_BDHV12</stp>
        <stp>XOM US Equity</stp>
        <stp>BS_ACCT_PAYABLE</stp>
        <stp>FQ4 2007</stp>
        <stp>FQ4 2007</stp>
        <stp>[FA1_ivyerigx.xlsx]Bal Sheet - Standardized!R31C40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3"/>
      </tp>
      <tp>
        <v>25164</v>
        <stp/>
        <stp>##V3_BDHV12</stp>
        <stp>XOM US Equity</stp>
        <stp>BS_ACCT_PAYABLE</stp>
        <stp>FQ1 2001</stp>
        <stp>FQ1 2001</stp>
        <stp>[FA1_ivyerigx.xlsx]Bal Sheet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3"/>
      </tp>
      <tp>
        <v>26530</v>
        <stp/>
        <stp>##V3_BDHV12</stp>
        <stp>XOM US Equity</stp>
        <stp>BS_ACCT_PAYABLE</stp>
        <stp>FQ2 2003</stp>
        <stp>FQ2 2003</stp>
        <stp>[FA1_ivyerigx.xlsx]Bal Sheet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3"/>
      </tp>
      <tp>
        <v>23159</v>
        <stp/>
        <stp>##V3_BDHV12</stp>
        <stp>XOM US Equity</stp>
        <stp>BS_ACCT_PAYABLE</stp>
        <stp>FQ1 2002</stp>
        <stp>FQ1 2002</stp>
        <stp>[FA1_ivyerigx.xlsx]Bal Sheet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3"/>
      </tp>
      <tp>
        <v>39055</v>
        <stp/>
        <stp>##V3_BDHV12</stp>
        <stp>XOM US Equity</stp>
        <stp>BS_ACCT_PAYABLE</stp>
        <stp>FQ3 2005</stp>
        <stp>FQ3 2005</stp>
        <stp>[FA1_ivyerigx.xlsx]Bal Sheet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3"/>
      </tp>
      <tp>
        <v>43525</v>
        <stp/>
        <stp>##V3_BDHV12</stp>
        <stp>XOM US Equity</stp>
        <stp>BS_ACCT_PAYABLE</stp>
        <stp>FQ3 2007</stp>
        <stp>FQ3 2007</stp>
        <stp>[FA1_ivyerigx.xlsx]Bal Sheet - Standardized!R31C39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3"/>
      </tp>
      <tp>
        <v>0.27760000000000001</v>
        <stp/>
        <stp>##V3_BDHV12</stp>
        <stp>XOM US Equity</stp>
        <stp>CASH_ST_INVESTMENTS_PER_SH</stp>
        <stp>FQ2 1999</stp>
        <stp>FQ2 1999</stp>
        <stp>[FA1_ivyerigx.xlsx]Per Share!R25C6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5" s="5"/>
      </tp>
      <tp>
        <v>0.24510000000000001</v>
        <stp/>
        <stp>##V3_BDHV12</stp>
        <stp>XOM US Equity</stp>
        <stp>CASH_ST_INVESTMENTS_PER_SH</stp>
        <stp>FQ3 1999</stp>
        <stp>FQ3 1999</stp>
        <stp>[FA1_ivyerigx.xlsx]Per Share!R25C7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5" s="5"/>
      </tp>
      <tp>
        <v>0.28939999999999999</v>
        <stp/>
        <stp>##V3_BDHV12</stp>
        <stp>XOM US Equity</stp>
        <stp>CASH_ST_INVESTMENTS_PER_SH</stp>
        <stp>FQ1 1999</stp>
        <stp>FQ1 1999</stp>
        <stp>[FA1_ivyerigx.xlsx]Per Share!R25C5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5" s="5"/>
      </tp>
      <tp>
        <v>35.049999999999997</v>
        <stp/>
        <stp>##V3_BDHV12</stp>
        <stp>XOM US Equity</stp>
        <stp>PX_LOW</stp>
        <stp>FQ4 2003</stp>
        <stp>FQ4 2003</stp>
        <stp>[FA1_ivyerigx.xlsx]Stock Value!R10C24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0" s="6"/>
      </tp>
      <tp>
        <v>34.9</v>
        <stp/>
        <stp>##V3_BDHV12</stp>
        <stp>XOM US Equity</stp>
        <stp>PX_LOW</stp>
        <stp>FQ3 2003</stp>
        <stp>FQ3 2003</stp>
        <stp>[FA1_ivyerigx.xlsx]Stock Value!R10C23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0" s="6"/>
      </tp>
      <tp>
        <v>34.200000000000003</v>
        <stp/>
        <stp>##V3_BDHV12</stp>
        <stp>XOM US Equity</stp>
        <stp>PX_LOW</stp>
        <stp>FQ2 2003</stp>
        <stp>FQ2 2003</stp>
        <stp>[FA1_ivyerigx.xlsx]Stock Value!R10C22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0" s="6"/>
      </tp>
      <tp>
        <v>31.58</v>
        <stp/>
        <stp>##V3_BDHV12</stp>
        <stp>XOM US Equity</stp>
        <stp>PX_LOW</stp>
        <stp>FQ1 2003</stp>
        <stp>FQ1 2003</stp>
        <stp>[FA1_ivyerigx.xlsx]Stock Value!R10C21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0" s="6"/>
      </tp>
      <tp>
        <v>77.55</v>
        <stp/>
        <stp>##V3_BDHV12</stp>
        <stp>XOM US Equity</stp>
        <stp>PX_LOW</stp>
        <stp>FQ1 2008</stp>
        <stp>FQ1 2008</stp>
        <stp>[FA1_ivyerigx.xlsx]Stock Value!R10C41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0" s="6"/>
      </tp>
      <tp>
        <v>84.26</v>
        <stp/>
        <stp>##V3_BDHV12</stp>
        <stp>XOM US Equity</stp>
        <stp>PX_LOW</stp>
        <stp>FQ2 2008</stp>
        <stp>FQ2 2008</stp>
        <stp>[FA1_ivyerigx.xlsx]Stock Value!R10C42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0" s="6"/>
      </tp>
      <tp>
        <v>-452</v>
        <stp/>
        <stp>##V3_BDHV12</stp>
        <stp>XOM US Equity</stp>
        <stp>OTHER_INVESTING_ACT_DETAILED</stp>
        <stp>FQ3 2002</stp>
        <stp>FQ3 2002</stp>
        <stp>[FA1_ivyerigx.xlsx]Cash Flow - Standardized!R24C19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4" s="4"/>
      </tp>
      <tp>
        <v>-751</v>
        <stp/>
        <stp>##V3_BDHV12</stp>
        <stp>XOM US Equity</stp>
        <stp>CF_CASH_FROM_INV_ACT</stp>
        <stp>FQ2 2000</stp>
        <stp>FQ2 2000</stp>
        <stp>[FA1_ivyerigx.xlsx]Cash Flow - Standardized!R25C10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5" s="4"/>
      </tp>
      <tp>
        <v>-735</v>
        <stp/>
        <stp>##V3_BDHV12</stp>
        <stp>XOM US Equity</stp>
        <stp>CF_CASH_FROM_INV_ACT</stp>
        <stp>FQ1 2003</stp>
        <stp>FQ1 2003</stp>
        <stp>[FA1_ivyerigx.xlsx]Cash Flow - Standardized!R25C21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5" s="4"/>
      </tp>
      <tp>
        <v>-1581</v>
        <stp/>
        <stp>##V3_BDHV12</stp>
        <stp>XOM US Equity</stp>
        <stp>CF_CASH_FROM_INV_ACT</stp>
        <stp>FQ1 2004</stp>
        <stp>FQ1 2004</stp>
        <stp>[FA1_ivyerigx.xlsx]Cash Flow - Standardized!R25C25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5" s="4"/>
      </tp>
      <tp>
        <v>-2222</v>
        <stp/>
        <stp>##V3_BDHV12</stp>
        <stp>XOM US Equity</stp>
        <stp>CF_CASH_FROM_INV_ACT</stp>
        <stp>FQ2 2001</stp>
        <stp>FQ2 2001</stp>
        <stp>[FA1_ivyerigx.xlsx]Cash Flow - Standardized!R25C14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5" s="4"/>
      </tp>
      <tp>
        <v>51</v>
        <stp/>
        <stp>##V3_BDHV12</stp>
        <stp>XOM US Equity</stp>
        <stp>IS_INT_EXPENSE</stp>
        <stp>FQ3 2002</stp>
        <stp>FQ3 2002</stp>
        <stp>[FA1_ivyerigx.xlsx]Income - Adjusted!R14C19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4" s="2"/>
      </tp>
      <tp>
        <v>-670</v>
        <stp/>
        <stp>##V3_BDHV12</stp>
        <stp>XOM US Equity</stp>
        <stp>OTHER_INVESTING_ACT_DETAILED</stp>
        <stp>FQ1 2007</stp>
        <stp>FQ1 2007</stp>
        <stp>[FA1_ivyerigx.xlsx]Cash Flow - Standardized!R24C37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4" s="4"/>
      </tp>
      <tp>
        <v>-280</v>
        <stp/>
        <stp>##V3_BDHV12</stp>
        <stp>XOM US Equity</stp>
        <stp>OTHER_INVESTING_ACT_DETAILED</stp>
        <stp>FQ3 2000</stp>
        <stp>FQ3 2000</stp>
        <stp>[FA1_ivyerigx.xlsx]Cash Flow - Standardized!R24C11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4" s="4"/>
      </tp>
      <tp>
        <v>-3133</v>
        <stp/>
        <stp>##V3_BDHV12</stp>
        <stp>XOM US Equity</stp>
        <stp>CF_CASH_FROM_INV_ACT</stp>
        <stp>FQ2 2002</stp>
        <stp>FQ2 2002</stp>
        <stp>[FA1_ivyerigx.xlsx]Cash Flow - Standardized!R25C18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5" s="4"/>
      </tp>
      <tp>
        <v>-167</v>
        <stp/>
        <stp>##V3_BDHV12</stp>
        <stp>XOM US Equity</stp>
        <stp>OTHER_INVESTING_ACT_DETAILED</stp>
        <stp>FQ1 2006</stp>
        <stp>FQ1 2006</stp>
        <stp>[FA1_ivyerigx.xlsx]Cash Flow - Standardized!R24C33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4" s="4"/>
      </tp>
      <tp>
        <v>-281</v>
        <stp/>
        <stp>##V3_BDHV12</stp>
        <stp>XOM US Equity</stp>
        <stp>OTHER_INVESTING_ACT_DETAILED</stp>
        <stp>FQ3 2001</stp>
        <stp>FQ3 2001</stp>
        <stp>[FA1_ivyerigx.xlsx]Cash Flow - Standardized!R24C15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4" s="4"/>
      </tp>
      <tp>
        <v>-1086</v>
        <stp/>
        <stp>##V3_BDHV12</stp>
        <stp>XOM US Equity</stp>
        <stp>CF_CASH_FROM_INV_ACT</stp>
        <stp>FQ1 2005</stp>
        <stp>FQ1 2005</stp>
        <stp>[FA1_ivyerigx.xlsx]Cash Flow - Standardized!R25C29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5" s="4"/>
      </tp>
      <tp>
        <v>4088</v>
        <stp/>
        <stp>##V3_BDHV12</stp>
        <stp>XOM US Equity</stp>
        <stp>CF_CASH_PAID_FOR_TAX</stp>
        <stp>FQ1 2006</stp>
        <stp>FQ1 2006</stp>
        <stp>[FA1_ivyerigx.xlsx]Cash Flow - Standardized!R38C33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8" s="4"/>
      </tp>
      <tp>
        <v>2357</v>
        <stp/>
        <stp>##V3_BDHV12</stp>
        <stp>XOM US Equity</stp>
        <stp>CF_CASH_PAID_FOR_TAX</stp>
        <stp>FQ3 2001</stp>
        <stp>FQ3 2001</stp>
        <stp>[FA1_ivyerigx.xlsx]Cash Flow - Standardized!R38C15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8" s="4"/>
      </tp>
      <tp>
        <v>3998</v>
        <stp/>
        <stp>##V3_BDHV12</stp>
        <stp>XOM US Equity</stp>
        <stp>CF_CASH_PAID_FOR_TAX</stp>
        <stp>FQ1 2007</stp>
        <stp>FQ1 2007</stp>
        <stp>[FA1_ivyerigx.xlsx]Cash Flow - Standardized!R38C37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8" s="4"/>
      </tp>
      <tp>
        <v>1629</v>
        <stp/>
        <stp>##V3_BDHV12</stp>
        <stp>XOM US Equity</stp>
        <stp>CF_CASH_PAID_FOR_TAX</stp>
        <stp>FQ3 2000</stp>
        <stp>FQ3 2000</stp>
        <stp>[FA1_ivyerigx.xlsx]Cash Flow - Standardized!R38C11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8" s="4"/>
      </tp>
      <tp>
        <v>1237</v>
        <stp/>
        <stp>##V3_BDHV12</stp>
        <stp>XOM US Equity</stp>
        <stp>CF_CASH_PAID_FOR_TAX</stp>
        <stp>FQ3 2002</stp>
        <stp>FQ3 2002</stp>
        <stp>[FA1_ivyerigx.xlsx]Cash Flow - Standardized!R38C19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8" s="4"/>
      </tp>
      <tp>
        <v>9.2792999999999992</v>
        <stp/>
        <stp>##V3_BDHV12</stp>
        <stp>XOM US Equity</stp>
        <stp>TANG_BOOK_VAL_PER_SH</stp>
        <stp>FQ1 2000</stp>
        <stp>FQ1 2000</stp>
        <stp>[FA1_ivyerigx.xlsx]Per Share!R27C9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7" s="5"/>
      </tp>
      <tp>
        <v>30356</v>
        <stp/>
        <stp>##V3_BDHV12</stp>
        <stp>XOM US Equity</stp>
        <stp>BS_ACCT_PAYABLE</stp>
        <stp>FQ1 2004</stp>
        <stp>FQ1 2004</stp>
        <stp>[FA1_ivyerigx.xlsx]Bal Sheet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3"/>
      </tp>
      <tp>
        <v>0.6</v>
        <stp/>
        <stp>##V3_BDHV12</stp>
        <stp>XOM US Equity</stp>
        <stp>IS_DIL_EPS_BEF_XO</stp>
        <stp>FQ4 1999</stp>
        <stp>FQ4 1999</stp>
        <stp>[FA1_ivyerigx.xlsx]Income - Adjusted!R40C8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0" s="2"/>
      </tp>
      <tp>
        <v>27217</v>
        <stp/>
        <stp>##V3_BDHV12</stp>
        <stp>XOM US Equity</stp>
        <stp>BS_ACCT_PAYABLE</stp>
        <stp>FQ2 2000</stp>
        <stp>FQ2 2000</stp>
        <stp>[FA1_ivyerigx.xlsx]Bal Sheet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3"/>
      </tp>
      <tp>
        <v>470</v>
        <stp/>
        <stp>##V3_BDHV12</stp>
        <stp>XOM US Equity</stp>
        <stp>IS_ABNORMAL_ITEM</stp>
        <stp>FQ4 1999</stp>
        <stp>FQ4 1999</stp>
        <stp>[FA1_ivyerigx.xlsx]Income - Adjusted!R17C8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2"/>
      </tp>
      <tp>
        <v>27592</v>
        <stp/>
        <stp>##V3_BDHV12</stp>
        <stp>XOM US Equity</stp>
        <stp>BS_ACCT_PAYABLE</stp>
        <stp>FQ1 2003</stp>
        <stp>FQ1 2003</stp>
        <stp>[FA1_ivyerigx.xlsx]Bal Sheet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3"/>
      </tp>
      <tp>
        <v>25307</v>
        <stp/>
        <stp>##V3_BDHV12</stp>
        <stp>XOM US Equity</stp>
        <stp>BS_ACCT_PAYABLE</stp>
        <stp>FQ2 2001</stp>
        <stp>FQ2 2001</stp>
        <stp>[FA1_ivyerigx.xlsx]Bal Sheet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3"/>
      </tp>
      <tp>
        <v>24140</v>
        <stp/>
        <stp>##V3_BDHV12</stp>
        <stp>XOM US Equity</stp>
        <stp>BS_ACCT_PAYABLE</stp>
        <stp>FQ2 2002</stp>
        <stp>FQ2 2002</stp>
        <stp>[FA1_ivyerigx.xlsx]Bal Sheet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3"/>
      </tp>
      <tp>
        <v>35489</v>
        <stp/>
        <stp>##V3_BDHV12</stp>
        <stp>XOM US Equity</stp>
        <stp>BS_ACCT_PAYABLE</stp>
        <stp>FQ1 2005</stp>
        <stp>FQ1 2005</stp>
        <stp>[FA1_ivyerigx.xlsx]Bal Sheet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3"/>
      </tp>
      <tp t="s">
        <v>—</v>
        <stp/>
        <stp>##V3_BDHV12</stp>
        <stp>XOM US Equity</stp>
        <stp>IS_ABNORMAL_ITEM</stp>
        <stp>FQ4 1998</stp>
        <stp>FQ4 1998</stp>
        <stp>[FA1_ivyerigx.xlsx]Income - Adjusted!R17C4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2"/>
      </tp>
      <tp>
        <v>45</v>
        <stp/>
        <stp>##V3_BDHV12</stp>
        <stp>XOM US Equity</stp>
        <stp>IS_INT_EXPENSE</stp>
        <stp>FQ2 1999</stp>
        <stp>FQ2 1999</stp>
        <stp>[FA1_ivyerigx.xlsx]Income - Adjusted!R14C6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>
        <v>58</v>
        <stp/>
        <stp>##V3_BDHV12</stp>
        <stp>XOM US Equity</stp>
        <stp>IS_INT_EXPENSE</stp>
        <stp>FQ3 1999</stp>
        <stp>FQ3 1999</stp>
        <stp>[FA1_ivyerigx.xlsx]Income - Adjusted!R14C7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>
        <v>94</v>
        <stp/>
        <stp>##V3_BDHV12</stp>
        <stp>XOM US Equity</stp>
        <stp>IS_INT_EXPENSE</stp>
        <stp>FQ1 1999</stp>
        <stp>FQ1 1999</stp>
        <stp>[FA1_ivyerigx.xlsx]Income - Adjusted!R14C5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621</v>
        <stp/>
        <stp>##V3_BDHV12</stp>
        <stp>XOM US Equity</stp>
        <stp>CF_CHNG_NON_CASH_WORK_CAP</stp>
        <stp>FQ3 1998</stp>
        <stp>FQ3 1998</stp>
        <stp>[FA1_ivyerigx.xlsx]Cash Flow - Standardized!R12C3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4"/>
      </tp>
      <tp>
        <v>-957</v>
        <stp/>
        <stp>##V3_BDHV12</stp>
        <stp>XOM US Equity</stp>
        <stp>CF_CHNG_NON_CASH_WORK_CAP</stp>
        <stp>FQ4 1998</stp>
        <stp>FQ4 1998</stp>
        <stp>[FA1_ivyerigx.xlsx]Cash Flow - Standardized!R12C4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4"/>
      </tp>
      <tp>
        <v>2680</v>
        <stp/>
        <stp>##V3_BDHV12</stp>
        <stp>XOM US Equity</stp>
        <stp>CF_NET_INC</stp>
        <stp>FQ4 2001</stp>
        <stp>FQ4 2001</stp>
        <stp>[FA1_ivyerigx.xlsx]Cash Flow - Standardized!R7C16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7" s="4"/>
      </tp>
      <tp>
        <v>5000</v>
        <stp/>
        <stp>##V3_BDHV12</stp>
        <stp>XOM US Equity</stp>
        <stp>CF_NET_INC</stp>
        <stp>FQ1 2001</stp>
        <stp>FQ1 2001</stp>
        <stp>[FA1_ivyerigx.xlsx]Cash Flow - Standardized!R7C13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7" s="4"/>
      </tp>
      <tp>
        <v>4490</v>
        <stp/>
        <stp>##V3_BDHV12</stp>
        <stp>XOM US Equity</stp>
        <stp>CF_NET_INC</stp>
        <stp>FQ3 2000</stp>
        <stp>FQ3 2000</stp>
        <stp>[FA1_ivyerigx.xlsx]Cash Flow - Standardized!R7C11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7" s="4"/>
      </tp>
      <tp>
        <v>4530</v>
        <stp/>
        <stp>##V3_BDHV12</stp>
        <stp>XOM US Equity</stp>
        <stp>CF_NET_INC</stp>
        <stp>FQ2 2000</stp>
        <stp>FQ2 2000</stp>
        <stp>[FA1_ivyerigx.xlsx]Cash Flow - Standardized!R7C10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7" s="4"/>
      </tp>
      <tp>
        <v>-62</v>
        <stp/>
        <stp>##V3_BDHV12</stp>
        <stp>XOM US Equity</stp>
        <stp>CF_CHNG_NON_CASH_WORK_CAP</stp>
        <stp>FQ2 1999</stp>
        <stp>FQ2 1999</stp>
        <stp>[FA1_ivyerigx.xlsx]Cash Flow - Standardized!R12C6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4"/>
      </tp>
      <tp>
        <v>-9</v>
        <stp/>
        <stp>##V3_BDHV12</stp>
        <stp>XOM US Equity</stp>
        <stp>CF_CHNG_NON_CASH_WORK_CAP</stp>
        <stp>FQ3 1999</stp>
        <stp>FQ3 1999</stp>
        <stp>[FA1_ivyerigx.xlsx]Cash Flow - Standardized!R12C7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4"/>
      </tp>
      <tp>
        <v>746</v>
        <stp/>
        <stp>##V3_BDHV12</stp>
        <stp>XOM US Equity</stp>
        <stp>CF_CHNG_NON_CASH_WORK_CAP</stp>
        <stp>FQ1 1999</stp>
        <stp>FQ1 1999</stp>
        <stp>[FA1_ivyerigx.xlsx]Cash Flow - Standardized!R12C5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4"/>
      </tp>
      <tp>
        <v>5220</v>
        <stp/>
        <stp>##V3_BDHV12</stp>
        <stp>XOM US Equity</stp>
        <stp>CF_NET_INC</stp>
        <stp>FQ4 2000</stp>
        <stp>FQ4 2000</stp>
        <stp>[FA1_ivyerigx.xlsx]Cash Flow - Standardized!R7C12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7" s="4"/>
      </tp>
      <tp>
        <v>4460</v>
        <stp/>
        <stp>##V3_BDHV12</stp>
        <stp>XOM US Equity</stp>
        <stp>CF_NET_INC</stp>
        <stp>FQ2 2001</stp>
        <stp>FQ2 2001</stp>
        <stp>[FA1_ivyerigx.xlsx]Cash Flow - Standardized!R7C14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7" s="4"/>
      </tp>
      <tp>
        <v>2090</v>
        <stp/>
        <stp>##V3_BDHV12</stp>
        <stp>XOM US Equity</stp>
        <stp>CF_NET_INC</stp>
        <stp>FQ1 2002</stp>
        <stp>FQ1 2002</stp>
        <stp>[FA1_ivyerigx.xlsx]Cash Flow - Standardized!R7C17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7" s="4"/>
      </tp>
      <tp>
        <v>3180</v>
        <stp/>
        <stp>##V3_BDHV12</stp>
        <stp>XOM US Equity</stp>
        <stp>CF_NET_INC</stp>
        <stp>FQ3 2001</stp>
        <stp>FQ3 2001</stp>
        <stp>[FA1_ivyerigx.xlsx]Cash Flow - Standardized!R7C15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7" s="4"/>
      </tp>
      <tp>
        <v>7362</v>
        <stp/>
        <stp>##V3_BDHV12</stp>
        <stp>XOM US Equity</stp>
        <stp>EBITDA</stp>
        <stp>FQ1 2000</stp>
        <stp>FQ1 2000</stp>
        <stp>[FA1_ivyerigx.xlsx]Income - Adjusted!R45C9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45" s="2"/>
      </tp>
      <tp>
        <v>2640</v>
        <stp/>
        <stp>##V3_BDHV12</stp>
        <stp>XOM US Equity</stp>
        <stp>CF_NET_INC</stp>
        <stp>FQ3 2002</stp>
        <stp>FQ3 2002</stp>
        <stp>[FA1_ivyerigx.xlsx]Cash Flow - Standardized!R7C19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7" s="4"/>
      </tp>
      <tp>
        <v>2640</v>
        <stp/>
        <stp>##V3_BDHV12</stp>
        <stp>XOM US Equity</stp>
        <stp>CF_NET_INC</stp>
        <stp>FQ2 2002</stp>
        <stp>FQ2 2002</stp>
        <stp>[FA1_ivyerigx.xlsx]Cash Flow - Standardized!R7C18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7" s="4"/>
      </tp>
      <tp>
        <v>-880</v>
        <stp/>
        <stp>##V3_BDHV12</stp>
        <stp>XOM US Equity</stp>
        <stp>CF_CHNG_NON_CASH_WORK_CAP</stp>
        <stp>FQ4 1999</stp>
        <stp>FQ4 1999</stp>
        <stp>[FA1_ivyerigx.xlsx]Cash Flow - Standardized!R12C8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4"/>
      </tp>
      <tp>
        <v>11905</v>
        <stp/>
        <stp>##V3_BDHV12</stp>
        <stp>XOM US Equity</stp>
        <stp>IS_INC_BEF_XO_ITEM</stp>
        <stp>FQ2 2008</stp>
        <stp>FQ2 2008</stp>
        <stp>[FA1_ivyerigx.xlsx]Income - Adjusted!R20C42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0" s="2"/>
      </tp>
      <tp>
        <v>0.30149999999999999</v>
        <stp/>
        <stp>##V3_BDHV12</stp>
        <stp>XOM US Equity</stp>
        <stp>FREE_CASH_FLOW_PER_SH</stp>
        <stp>FQ4 1999</stp>
        <stp>FQ4 1999</stp>
        <stp>[FA1_ivyerigx.xlsx]Per Share!R23C8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3" s="5"/>
      </tp>
      <tp>
        <v>8033</v>
        <stp/>
        <stp>##V3_BDHV12</stp>
        <stp>XOM US Equity</stp>
        <stp>IS_OPERATING_EXPN</stp>
        <stp>FQ1 1999</stp>
        <stp>FQ1 1999</stp>
        <stp>[FA1_ivyerigx.xlsx]Income - Adjusted!R10C5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0" s="2"/>
      </tp>
      <tp>
        <v>8025</v>
        <stp/>
        <stp>##V3_BDHV12</stp>
        <stp>XOM US Equity</stp>
        <stp>IS_OPERATING_EXPN</stp>
        <stp>FQ2 1999</stp>
        <stp>FQ2 1999</stp>
        <stp>[FA1_ivyerigx.xlsx]Income - Adjusted!R10C6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0" s="2"/>
      </tp>
      <tp>
        <v>7724</v>
        <stp/>
        <stp>##V3_BDHV12</stp>
        <stp>XOM US Equity</stp>
        <stp>IS_OPERATING_EXPN</stp>
        <stp>FQ3 1999</stp>
        <stp>FQ3 1999</stp>
        <stp>[FA1_ivyerigx.xlsx]Income - Adjusted!R10C7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0" s="2"/>
      </tp>
      <tp>
        <v>-406</v>
        <stp/>
        <stp>##V3_BDHV12</stp>
        <stp>XOM US Equity</stp>
        <stp>OTHER_INVESTING_ACT_DETAILED</stp>
        <stp>FQ2 2002</stp>
        <stp>FQ2 2002</stp>
        <stp>[FA1_ivyerigx.xlsx]Cash Flow - Standardized!R24C18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4" s="4"/>
      </tp>
      <tp>
        <v>-1810</v>
        <stp/>
        <stp>##V3_BDHV12</stp>
        <stp>XOM US Equity</stp>
        <stp>CF_CASH_FROM_INV_ACT</stp>
        <stp>FQ3 2000</stp>
        <stp>FQ3 2000</stp>
        <stp>[FA1_ivyerigx.xlsx]Cash Flow - Standardized!R25C11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5" s="4"/>
      </tp>
      <tp t="s">
        <v>—</v>
        <stp/>
        <stp>##V3_BDHV12</stp>
        <stp>XOM US Equity</stp>
        <stp>BS_GROSS_FIX_ASSET</stp>
        <stp>FQ1 2008</stp>
        <stp>FQ1 2008</stp>
        <stp>[FA1_ivyerigx.xlsx]Bal Sheet - Standardized!R20C41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0" s="3"/>
      </tp>
      <tp>
        <v>-3238</v>
        <stp/>
        <stp>##V3_BDHV12</stp>
        <stp>XOM US Equity</stp>
        <stp>CF_CASH_FROM_INV_ACT</stp>
        <stp>FQ1 2007</stp>
        <stp>FQ1 2007</stp>
        <stp>[FA1_ivyerigx.xlsx]Cash Flow - Standardized!R25C37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5" s="4"/>
      </tp>
      <tp>
        <v>3661</v>
        <stp/>
        <stp>##V3_BDHV12</stp>
        <stp>XOM US Equity</stp>
        <stp>BS_SH_CAP_AND_APIC</stp>
        <stp>FQ4 2000</stp>
        <stp>FQ4 2000</stp>
        <stp>[FA1_ivyerigx.xlsx]Bal Sheet - Standardized!R42C12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2" s="3"/>
      </tp>
      <tp>
        <v>-170</v>
        <stp/>
        <stp>##V3_BDHV12</stp>
        <stp>XOM US Equity</stp>
        <stp>OTHER_INVESTING_ACT_DETAILED</stp>
        <stp>FQ1 2005</stp>
        <stp>FQ1 2005</stp>
        <stp>[FA1_ivyerigx.xlsx]Cash Flow - Standardized!R24C29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4" s="4"/>
      </tp>
      <tp>
        <v>-2631</v>
        <stp/>
        <stp>##V3_BDHV12</stp>
        <stp>XOM US Equity</stp>
        <stp>CF_CASH_FROM_INV_ACT</stp>
        <stp>FQ3 2001</stp>
        <stp>FQ3 2001</stp>
        <stp>[FA1_ivyerigx.xlsx]Cash Flow - Standardized!R25C15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5" s="4"/>
      </tp>
      <tp>
        <v>-3503</v>
        <stp/>
        <stp>##V3_BDHV12</stp>
        <stp>XOM US Equity</stp>
        <stp>CF_CASH_FROM_INV_ACT</stp>
        <stp>FQ1 2006</stp>
        <stp>FQ1 2006</stp>
        <stp>[FA1_ivyerigx.xlsx]Cash Flow - Standardized!R25C33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5" s="4"/>
      </tp>
      <tp>
        <v>3789</v>
        <stp/>
        <stp>##V3_BDHV12</stp>
        <stp>XOM US Equity</stp>
        <stp>BS_SH_CAP_AND_APIC</stp>
        <stp>FQ4 2001</stp>
        <stp>FQ4 2001</stp>
        <stp>[FA1_ivyerigx.xlsx]Bal Sheet - Standardized!R42C16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2" s="3"/>
      </tp>
      <tp>
        <v>775</v>
        <stp/>
        <stp>##V3_BDHV12</stp>
        <stp>XOM US Equity</stp>
        <stp>OTHER_INVESTING_ACT_DETAILED</stp>
        <stp>FQ1 2004</stp>
        <stp>FQ1 2004</stp>
        <stp>[FA1_ivyerigx.xlsx]Cash Flow - Standardized!R24C25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4" s="4"/>
      </tp>
      <tp>
        <v>51</v>
        <stp/>
        <stp>##V3_BDHV12</stp>
        <stp>XOM US Equity</stp>
        <stp>IS_INT_EXPENSE</stp>
        <stp>FQ2 2002</stp>
        <stp>FQ2 2002</stp>
        <stp>[FA1_ivyerigx.xlsx]Income - Adjusted!R14C18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4" s="2"/>
      </tp>
      <tp>
        <v>107</v>
        <stp/>
        <stp>##V3_BDHV12</stp>
        <stp>XOM US Equity</stp>
        <stp>IS_INT_EXPENSE</stp>
        <stp>FQ2 2008</stp>
        <stp>FQ2 2008</stp>
        <stp>[FA1_ivyerigx.xlsx]Income - Adjusted!R14C42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4" s="2"/>
      </tp>
      <tp>
        <v>54</v>
        <stp/>
        <stp>##V3_BDHV12</stp>
        <stp>XOM US Equity</stp>
        <stp>OTHER_INVESTING_ACT_DETAILED</stp>
        <stp>FQ2 2000</stp>
        <stp>FQ2 2000</stp>
        <stp>[FA1_ivyerigx.xlsx]Cash Flow - Standardized!R24C10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4" s="4"/>
      </tp>
      <tp>
        <v>-3155</v>
        <stp/>
        <stp>##V3_BDHV12</stp>
        <stp>XOM US Equity</stp>
        <stp>CF_CASH_FROM_INV_ACT</stp>
        <stp>FQ3 2002</stp>
        <stp>FQ3 2002</stp>
        <stp>[FA1_ivyerigx.xlsx]Cash Flow - Standardized!R25C19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5" s="4"/>
      </tp>
      <tp>
        <v>190503</v>
        <stp/>
        <stp>##V3_BDHV12</stp>
        <stp>XOM US Equity</stp>
        <stp>BS_GROSS_FIX_ASSET</stp>
        <stp>FQ4 2001</stp>
        <stp>FQ4 2001</stp>
        <stp>[FA1_ivyerigx.xlsx]Bal Sheet - Standardized!R20C16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3"/>
      </tp>
      <tp>
        <v>870</v>
        <stp/>
        <stp>##V3_BDHV12</stp>
        <stp>XOM US Equity</stp>
        <stp>OTHER_INVESTING_ACT_DETAILED</stp>
        <stp>FQ1 2003</stp>
        <stp>FQ1 2003</stp>
        <stp>[FA1_ivyerigx.xlsx]Cash Flow - Standardized!R24C21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4" s="4"/>
      </tp>
      <tp>
        <v>4745</v>
        <stp/>
        <stp>##V3_BDHV12</stp>
        <stp>XOM US Equity</stp>
        <stp>BS_SH_CAP_AND_APIC</stp>
        <stp>FQ1 2008</stp>
        <stp>FQ1 2008</stp>
        <stp>[FA1_ivyerigx.xlsx]Bal Sheet - Standardized!R42C41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2" s="3"/>
      </tp>
      <tp>
        <v>-338</v>
        <stp/>
        <stp>##V3_BDHV12</stp>
        <stp>XOM US Equity</stp>
        <stp>OTHER_INVESTING_ACT_DETAILED</stp>
        <stp>FQ2 2001</stp>
        <stp>FQ2 2001</stp>
        <stp>[FA1_ivyerigx.xlsx]Cash Flow - Standardized!R24C14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4" s="4"/>
      </tp>
      <tp>
        <v>187746</v>
        <stp/>
        <stp>##V3_BDHV12</stp>
        <stp>XOM US Equity</stp>
        <stp>BS_GROSS_FIX_ASSET</stp>
        <stp>FQ4 2000</stp>
        <stp>FQ4 2000</stp>
        <stp>[FA1_ivyerigx.xlsx]Bal Sheet - Standardized!R20C12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3"/>
      </tp>
      <tp>
        <v>2691</v>
        <stp/>
        <stp>##V3_BDHV12</stp>
        <stp>XOM US Equity</stp>
        <stp>CF_CASH_PAID_FOR_TAX</stp>
        <stp>FQ2 2001</stp>
        <stp>FQ2 2001</stp>
        <stp>[FA1_ivyerigx.xlsx]Cash Flow - Standardized!R38C14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8" s="4"/>
      </tp>
      <tp>
        <v>1502</v>
        <stp/>
        <stp>##V3_BDHV12</stp>
        <stp>XOM US Equity</stp>
        <stp>CF_CASH_PAID_FOR_TAX</stp>
        <stp>FQ1 2004</stp>
        <stp>FQ1 2004</stp>
        <stp>[FA1_ivyerigx.xlsx]Cash Flow - Standardized!R38C25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8" s="4"/>
      </tp>
      <tp>
        <v>1168</v>
        <stp/>
        <stp>##V3_BDHV12</stp>
        <stp>XOM US Equity</stp>
        <stp>CF_CASH_PAID_FOR_TAX</stp>
        <stp>FQ1 2003</stp>
        <stp>FQ1 2003</stp>
        <stp>[FA1_ivyerigx.xlsx]Cash Flow - Standardized!R38C21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8" s="4"/>
      </tp>
      <tp>
        <v>1608</v>
        <stp/>
        <stp>##V3_BDHV12</stp>
        <stp>XOM US Equity</stp>
        <stp>CF_CASH_PAID_FOR_TAX</stp>
        <stp>FQ2 2000</stp>
        <stp>FQ2 2000</stp>
        <stp>[FA1_ivyerigx.xlsx]Cash Flow - Standardized!R38C10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8" s="4"/>
      </tp>
      <tp>
        <v>3820</v>
        <stp/>
        <stp>##V3_BDHV12</stp>
        <stp>XOM US Equity</stp>
        <stp>CF_CASH_PAID_FOR_TAX</stp>
        <stp>FQ1 2005</stp>
        <stp>FQ1 2005</stp>
        <stp>[FA1_ivyerigx.xlsx]Cash Flow - Standardized!R38C29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8" s="4"/>
      </tp>
      <tp>
        <v>1479</v>
        <stp/>
        <stp>##V3_BDHV12</stp>
        <stp>XOM US Equity</stp>
        <stp>CF_CASH_PAID_FOR_TAX</stp>
        <stp>FQ2 2002</stp>
        <stp>FQ2 2002</stp>
        <stp>[FA1_ivyerigx.xlsx]Cash Flow - Standardized!R38C18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8" s="4"/>
      </tp>
      <tp>
        <v>271527.82799999998</v>
        <stp/>
        <stp>##V3_BDHV12</stp>
        <stp>XOM US Equity</stp>
        <stp>HISTORICAL_MARKET_CAP</stp>
        <stp>FQ1 2000</stp>
        <stp>FQ1 2000</stp>
        <stp>[FA1_ivyerigx.xlsx]Stock Value!R12C9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6"/>
      </tp>
      <tp>
        <v>38923</v>
        <stp/>
        <stp>##V3_BDHV12</stp>
        <stp>XOM US Equity</stp>
        <stp>BS_ACCT_PAYABLE</stp>
        <stp>FQ1 2007</stp>
        <stp>FQ1 2007</stp>
        <stp>[FA1_ivyerigx.xlsx]Bal Sheet - Standardized!R31C37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3"/>
      </tp>
      <tp>
        <v>27646</v>
        <stp/>
        <stp>##V3_BDHV12</stp>
        <stp>XOM US Equity</stp>
        <stp>BS_ACCT_PAYABLE</stp>
        <stp>FQ3 2000</stp>
        <stp>FQ3 2000</stp>
        <stp>[FA1_ivyerigx.xlsx]Bal Sheet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3"/>
      </tp>
      <tp>
        <v>39019</v>
        <stp/>
        <stp>##V3_BDHV12</stp>
        <stp>XOM US Equity</stp>
        <stp>BS_ACCT_PAYABLE</stp>
        <stp>FQ1 2006</stp>
        <stp>FQ1 2006</stp>
        <stp>[FA1_ivyerigx.xlsx]Bal Sheet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3"/>
      </tp>
      <tp>
        <v>24632</v>
        <stp/>
        <stp>##V3_BDHV12</stp>
        <stp>XOM US Equity</stp>
        <stp>BS_ACCT_PAYABLE</stp>
        <stp>FQ3 2001</stp>
        <stp>FQ3 2001</stp>
        <stp>[FA1_ivyerigx.xlsx]Bal Sheet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3"/>
      </tp>
      <tp>
        <v>24394</v>
        <stp/>
        <stp>##V3_BDHV12</stp>
        <stp>XOM US Equity</stp>
        <stp>BS_ACCT_PAYABLE</stp>
        <stp>FQ3 2002</stp>
        <stp>FQ3 2002</stp>
        <stp>[FA1_ivyerigx.xlsx]Bal Sheet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3"/>
      </tp>
      <tp>
        <v>42.031300000000002</v>
        <stp/>
        <stp>##V3_BDHV12</stp>
        <stp>XOM US Equity</stp>
        <stp>PX_LOW</stp>
        <stp>FQ4 2000</stp>
        <stp>FQ4 2000</stp>
        <stp>[FA1_ivyerigx.xlsx]Stock Value!R10C12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0" s="6"/>
      </tp>
      <tp>
        <v>56.64</v>
        <stp/>
        <stp>##V3_BDHV12</stp>
        <stp>XOM US Equity</stp>
        <stp>PX_LOW</stp>
        <stp>FQ2 2006</stp>
        <stp>FQ2 2006</stp>
        <stp>[FA1_ivyerigx.xlsx]Stock Value!R10C34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0" s="6"/>
      </tp>
      <tp>
        <v>61.63</v>
        <stp/>
        <stp>##V3_BDHV12</stp>
        <stp>XOM US Equity</stp>
        <stp>PX_LOW</stp>
        <stp>FQ3 2006</stp>
        <stp>FQ3 2006</stp>
        <stp>[FA1_ivyerigx.xlsx]Stock Value!R10C35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0" s="6"/>
      </tp>
      <tp>
        <v>69.02</v>
        <stp/>
        <stp>##V3_BDHV12</stp>
        <stp>XOM US Equity</stp>
        <stp>PX_LOW</stp>
        <stp>FQ1 2007</stp>
        <stp>FQ1 2007</stp>
        <stp>[FA1_ivyerigx.xlsx]Stock Value!R10C37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0" s="6"/>
      </tp>
      <tp>
        <v>54.5</v>
        <stp/>
        <stp>##V3_BDHV12</stp>
        <stp>XOM US Equity</stp>
        <stp>PX_LOW</stp>
        <stp>FQ4 2005</stp>
        <stp>FQ4 2005</stp>
        <stp>[FA1_ivyerigx.xlsx]Stock Value!R10C32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0" s="6"/>
      </tp>
      <tp>
        <v>35.01</v>
        <stp/>
        <stp>##V3_BDHV12</stp>
        <stp>XOM US Equity</stp>
        <stp>PX_LOW</stp>
        <stp>FQ3 2001</stp>
        <stp>FQ3 2001</stp>
        <stp>[FA1_ivyerigx.xlsx]Stock Value!R10C15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0" s="6"/>
      </tp>
      <tp>
        <v>38.5</v>
        <stp/>
        <stp>##V3_BDHV12</stp>
        <stp>XOM US Equity</stp>
        <stp>PX_LOW</stp>
        <stp>FQ2 2001</stp>
        <stp>FQ2 2001</stp>
        <stp>[FA1_ivyerigx.xlsx]Stock Value!R10C14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0" s="6"/>
      </tp>
      <tp>
        <v>37.6</v>
        <stp/>
        <stp>##V3_BDHV12</stp>
        <stp>XOM US Equity</stp>
        <stp>PX_LOW</stp>
        <stp>FQ1 2002</stp>
        <stp>FQ1 2002</stp>
        <stp>[FA1_ivyerigx.xlsx]Stock Value!R10C17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0" s="6"/>
      </tp>
      <tp t="s">
        <v>—</v>
        <stp/>
        <stp>##V3_BDHV12</stp>
        <stp>XOM US Equity</stp>
        <stp>BS_OPTIONS_OUTSTANDING</stp>
        <stp>FQ2 1999</stp>
        <stp>FQ2 1999</stp>
        <stp>[FA1_ivyerigx.xlsx]Bal Sheet - Standardized!R59C6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9" s="3"/>
      </tp>
      <tp t="s">
        <v>—</v>
        <stp/>
        <stp>##V3_BDHV12</stp>
        <stp>XOM US Equity</stp>
        <stp>BS_OPTIONS_OUTSTANDING</stp>
        <stp>FQ3 1999</stp>
        <stp>FQ3 1999</stp>
        <stp>[FA1_ivyerigx.xlsx]Bal Sheet - Standardized!R59C7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9" s="3"/>
      </tp>
      <tp t="s">
        <v>—</v>
        <stp/>
        <stp>##V3_BDHV12</stp>
        <stp>XOM US Equity</stp>
        <stp>BS_OPTIONS_OUTSTANDING</stp>
        <stp>FQ1 1999</stp>
        <stp>FQ1 1999</stp>
        <stp>[FA1_ivyerigx.xlsx]Bal Sheet - Standardized!R59C5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9" s="3"/>
      </tp>
      <tp>
        <v>-2266</v>
        <stp/>
        <stp>##V3_BDHV12</stp>
        <stp>XOM US Equity</stp>
        <stp>CF_CASH_FROM_INV_ACT</stp>
        <stp>FQ4 2001</stp>
        <stp>FQ4 2001</stp>
        <stp>[FA1_ivyerigx.xlsx]Cash Flow - Standardized!R25C16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5" s="4"/>
      </tp>
      <tp t="s">
        <v>—</v>
        <stp/>
        <stp>##V3_BDHV12</stp>
        <stp>XOM US Equity</stp>
        <stp>BS_GROSS_FIX_ASSET</stp>
        <stp>FQ3 2002</stp>
        <stp>FQ3 2002</stp>
        <stp>[FA1_ivyerigx.xlsx]Bal Sheet - Standardized!R20C19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3"/>
      </tp>
      <tp>
        <v>4397</v>
        <stp/>
        <stp>##V3_BDHV12</stp>
        <stp>XOM US Equity</stp>
        <stp>BS_SH_CAP_AND_APIC</stp>
        <stp>FQ1 2006</stp>
        <stp>FQ1 2006</stp>
        <stp>[FA1_ivyerigx.xlsx]Bal Sheet - Standardized!R42C33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2" s="3"/>
      </tp>
      <tp>
        <v>3752</v>
        <stp/>
        <stp>##V3_BDHV12</stp>
        <stp>XOM US Equity</stp>
        <stp>BS_SH_CAP_AND_APIC</stp>
        <stp>FQ3 2001</stp>
        <stp>FQ3 2001</stp>
        <stp>[FA1_ivyerigx.xlsx]Bal Sheet - Standardized!R42C15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2" s="3"/>
      </tp>
      <tp>
        <v>-1595</v>
        <stp/>
        <stp>##V3_BDHV12</stp>
        <stp>XOM US Equity</stp>
        <stp>CF_CASH_FROM_INV_ACT</stp>
        <stp>FQ4 2000</stp>
        <stp>FQ4 2000</stp>
        <stp>[FA1_ivyerigx.xlsx]Cash Flow - Standardized!R25C12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5" s="4"/>
      </tp>
      <tp>
        <v>4530</v>
        <stp/>
        <stp>##V3_BDHV12</stp>
        <stp>XOM US Equity</stp>
        <stp>BS_SH_CAP_AND_APIC</stp>
        <stp>FQ1 2007</stp>
        <stp>FQ1 2007</stp>
        <stp>[FA1_ivyerigx.xlsx]Bal Sheet - Standardized!R42C37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2" s="3"/>
      </tp>
      <tp>
        <v>3589</v>
        <stp/>
        <stp>##V3_BDHV12</stp>
        <stp>XOM US Equity</stp>
        <stp>BS_SH_CAP_AND_APIC</stp>
        <stp>FQ3 2000</stp>
        <stp>FQ3 2000</stp>
        <stp>[FA1_ivyerigx.xlsx]Bal Sheet - Standardized!R42C11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2" s="3"/>
      </tp>
      <tp t="s">
        <v>—</v>
        <stp/>
        <stp>##V3_BDHV12</stp>
        <stp>XOM US Equity</stp>
        <stp>BS_GROSS_FIX_ASSET</stp>
        <stp>FQ1 2007</stp>
        <stp>FQ1 2007</stp>
        <stp>[FA1_ivyerigx.xlsx]Bal Sheet - Standardized!R20C37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3"/>
      </tp>
      <tp>
        <v>-4300</v>
        <stp/>
        <stp>##V3_BDHV12</stp>
        <stp>XOM US Equity</stp>
        <stp>CF_CASH_FROM_INV_ACT</stp>
        <stp>FQ1 2008</stp>
        <stp>FQ1 2008</stp>
        <stp>[FA1_ivyerigx.xlsx]Cash Flow - Standardized!R25C41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5" s="4"/>
      </tp>
      <tp t="s">
        <v>—</v>
        <stp/>
        <stp>##V3_BDHV12</stp>
        <stp>XOM US Equity</stp>
        <stp>BS_GROSS_FIX_ASSET</stp>
        <stp>FQ3 2000</stp>
        <stp>FQ3 2000</stp>
        <stp>[FA1_ivyerigx.xlsx]Bal Sheet - Standardized!R20C11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3"/>
      </tp>
      <tp t="s">
        <v>—</v>
        <stp/>
        <stp>##V3_BDHV12</stp>
        <stp>XOM US Equity</stp>
        <stp>BS_GROSS_FIX_ASSET</stp>
        <stp>FQ1 2006</stp>
        <stp>FQ1 2006</stp>
        <stp>[FA1_ivyerigx.xlsx]Bal Sheet - Standardized!R20C33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3"/>
      </tp>
      <tp>
        <v>3851</v>
        <stp/>
        <stp>##V3_BDHV12</stp>
        <stp>XOM US Equity</stp>
        <stp>BS_SH_CAP_AND_APIC</stp>
        <stp>FQ3 2002</stp>
        <stp>FQ3 2002</stp>
        <stp>[FA1_ivyerigx.xlsx]Bal Sheet - Standardized!R42C19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2" s="3"/>
      </tp>
      <tp t="s">
        <v>—</v>
        <stp/>
        <stp>##V3_BDHV12</stp>
        <stp>XOM US Equity</stp>
        <stp>BS_GROSS_FIX_ASSET</stp>
        <stp>FQ3 2001</stp>
        <stp>FQ3 2001</stp>
        <stp>[FA1_ivyerigx.xlsx]Bal Sheet - Standardized!R20C15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3"/>
      </tp>
      <tp>
        <v>22862</v>
        <stp/>
        <stp>##V3_BDHV12</stp>
        <stp>XOM US Equity</stp>
        <stp>BS_ACCT_PAYABLE</stp>
        <stp>FQ4 2001</stp>
        <stp>FQ4 2001</stp>
        <stp>[FA1_ivyerigx.xlsx]Bal Sheet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3"/>
      </tp>
      <tp>
        <v>15357</v>
        <stp/>
        <stp>##V3_BDHV12</stp>
        <stp>XOM US Equity</stp>
        <stp>BS_ACCT_PAYABLE</stp>
        <stp>FQ4 2000</stp>
        <stp>FQ4 2000</stp>
        <stp>[FA1_ivyerigx.xlsx]Bal Sheet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3"/>
      </tp>
      <tp>
        <v>53613</v>
        <stp/>
        <stp>##V3_BDHV12</stp>
        <stp>XOM US Equity</stp>
        <stp>BS_ACCT_PAYABLE</stp>
        <stp>FQ1 2008</stp>
        <stp>FQ1 2008</stp>
        <stp>[FA1_ivyerigx.xlsx]Bal Sheet - Standardized!R31C41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3"/>
      </tp>
      <tp t="s">
        <v>—</v>
        <stp/>
        <stp>##V3_BDHV12</stp>
        <stp>XOM US Equity</stp>
        <stp>IS_ABNORMAL_ITEM</stp>
        <stp>FQ2 1999</stp>
        <stp>FQ2 1999</stp>
        <stp>[FA1_ivyerigx.xlsx]Income - Adjusted!R17C6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2"/>
      </tp>
      <tp>
        <v>91160</v>
        <stp/>
        <stp>##V3_BDHV12</stp>
        <stp>XOM US Equity</stp>
        <stp>SALES_REV_TURN</stp>
        <stp>FQ3 2007</stp>
        <stp>FQ3 2007</stp>
        <stp>[FA1_ivyerigx.xlsx]Income - Adjusted!R6C39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6" s="2"/>
      </tp>
      <tp>
        <v>87249</v>
        <stp/>
        <stp>##V3_BDHV12</stp>
        <stp>XOM US Equity</stp>
        <stp>SALES_REV_TURN</stp>
        <stp>FQ2 2007</stp>
        <stp>FQ2 2007</stp>
        <stp>[FA1_ivyerigx.xlsx]Income - Adjusted!R6C38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6" s="2"/>
      </tp>
      <tp>
        <v>72237</v>
        <stp/>
        <stp>##V3_BDHV12</stp>
        <stp>XOM US Equity</stp>
        <stp>SALES_REV_TURN</stp>
        <stp>FQ1 2005</stp>
        <stp>FQ1 2005</stp>
        <stp>[FA1_ivyerigx.xlsx]Income - Adjusted!R6C29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6" s="2"/>
      </tp>
      <tp>
        <v>-734</v>
        <stp/>
        <stp>##V3_BDHV12</stp>
        <stp>XOM US Equity</stp>
        <stp>OTHER_INVESTING_ACT_DETAILED</stp>
        <stp>FQ1 2008</stp>
        <stp>FQ1 2008</stp>
        <stp>[FA1_ivyerigx.xlsx]Cash Flow - Standardized!R24C41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4" s="4"/>
      </tp>
      <tp t="s">
        <v>—</v>
        <stp/>
        <stp>##V3_BDHV12</stp>
        <stp>XOM US Equity</stp>
        <stp>BS_GROSS_FIX_ASSET</stp>
        <stp>FQ2 2002</stp>
        <stp>FQ2 2002</stp>
        <stp>[FA1_ivyerigx.xlsx]Bal Sheet - Standardized!R20C18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3"/>
      </tp>
      <tp>
        <v>3745</v>
        <stp/>
        <stp>##V3_BDHV12</stp>
        <stp>XOM US Equity</stp>
        <stp>BS_SH_CAP_AND_APIC</stp>
        <stp>FQ2 2001</stp>
        <stp>FQ2 2001</stp>
        <stp>[FA1_ivyerigx.xlsx]Bal Sheet - Standardized!R42C14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2" s="3"/>
      </tp>
      <tp t="s">
        <v>—</v>
        <stp/>
        <stp>##V3_BDHV12</stp>
        <stp>XOM US Equity</stp>
        <stp>BS_GROSS_FIX_ASSET</stp>
        <stp>FQ1 2005</stp>
        <stp>FQ1 2005</stp>
        <stp>[FA1_ivyerigx.xlsx]Bal Sheet - Standardized!R20C29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3"/>
      </tp>
      <tp>
        <v>4339</v>
        <stp/>
        <stp>##V3_BDHV12</stp>
        <stp>XOM US Equity</stp>
        <stp>BS_SH_CAP_AND_APIC</stp>
        <stp>FQ1 2004</stp>
        <stp>FQ1 2004</stp>
        <stp>[FA1_ivyerigx.xlsx]Bal Sheet - Standardized!R42C25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2" s="3"/>
      </tp>
      <tp>
        <v>4071</v>
        <stp/>
        <stp>##V3_BDHV12</stp>
        <stp>XOM US Equity</stp>
        <stp>BS_SH_CAP_AND_APIC</stp>
        <stp>FQ1 2003</stp>
        <stp>FQ1 2003</stp>
        <stp>[FA1_ivyerigx.xlsx]Bal Sheet - Standardized!R42C21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2" s="3"/>
      </tp>
      <tp>
        <v>3510</v>
        <stp/>
        <stp>##V3_BDHV12</stp>
        <stp>XOM US Equity</stp>
        <stp>BS_SH_CAP_AND_APIC</stp>
        <stp>FQ2 2000</stp>
        <stp>FQ2 2000</stp>
        <stp>[FA1_ivyerigx.xlsx]Bal Sheet - Standardized!R42C10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2" s="3"/>
      </tp>
      <tp>
        <v>56</v>
        <stp/>
        <stp>##V3_BDHV12</stp>
        <stp>XOM US Equity</stp>
        <stp>IS_INT_EXPENSE</stp>
        <stp>FQ1 2005</stp>
        <stp>FQ1 2005</stp>
        <stp>[FA1_ivyerigx.xlsx]Income - Adjusted!R14C29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4" s="2"/>
      </tp>
      <tp>
        <v>5070</v>
        <stp/>
        <stp>##V3_BDHV12</stp>
        <stp>XOM US Equity</stp>
        <stp>BS_SH_CAP_AND_APIC</stp>
        <stp>FQ1 2005</stp>
        <stp>FQ1 2005</stp>
        <stp>[FA1_ivyerigx.xlsx]Bal Sheet - Standardized!R42C29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2" s="3"/>
      </tp>
      <tp>
        <v>81</v>
        <stp/>
        <stp>##V3_BDHV12</stp>
        <stp>XOM US Equity</stp>
        <stp>IS_INT_EXPENSE</stp>
        <stp>FQ4 2004</stp>
        <stp>FQ4 2004</stp>
        <stp>[FA1_ivyerigx.xlsx]Income - Adjusted!R14C28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4" s="2"/>
      </tp>
      <tp t="s">
        <v>—</v>
        <stp/>
        <stp>##V3_BDHV12</stp>
        <stp>XOM US Equity</stp>
        <stp>BS_GROSS_FIX_ASSET</stp>
        <stp>FQ1 2004</stp>
        <stp>FQ1 2004</stp>
        <stp>[FA1_ivyerigx.xlsx]Bal Sheet - Standardized!R20C25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3"/>
      </tp>
      <tp t="s">
        <v>—</v>
        <stp/>
        <stp>##V3_BDHV12</stp>
        <stp>XOM US Equity</stp>
        <stp>BS_GROSS_FIX_ASSET</stp>
        <stp>FQ1 2003</stp>
        <stp>FQ1 2003</stp>
        <stp>[FA1_ivyerigx.xlsx]Bal Sheet - Standardized!R20C21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3"/>
      </tp>
      <tp>
        <v>670</v>
        <stp/>
        <stp>##V3_BDHV12</stp>
        <stp>XOM US Equity</stp>
        <stp>OTHER_INVESTING_ACT_DETAILED</stp>
        <stp>FQ4 2001</stp>
        <stp>FQ4 2001</stp>
        <stp>[FA1_ivyerigx.xlsx]Cash Flow - Standardized!R24C16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4" s="4"/>
      </tp>
      <tp t="s">
        <v>—</v>
        <stp/>
        <stp>##V3_BDHV12</stp>
        <stp>XOM US Equity</stp>
        <stp>BS_GROSS_FIX_ASSET</stp>
        <stp>FQ2 2000</stp>
        <stp>FQ2 2000</stp>
        <stp>[FA1_ivyerigx.xlsx]Bal Sheet - Standardized!R20C10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3"/>
      </tp>
      <tp>
        <v>3843</v>
        <stp/>
        <stp>##V3_BDHV12</stp>
        <stp>XOM US Equity</stp>
        <stp>BS_SH_CAP_AND_APIC</stp>
        <stp>FQ2 2002</stp>
        <stp>FQ2 2002</stp>
        <stp>[FA1_ivyerigx.xlsx]Bal Sheet - Standardized!R42C18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2" s="3"/>
      </tp>
      <tp>
        <v>-1041</v>
        <stp/>
        <stp>##V3_BDHV12</stp>
        <stp>XOM US Equity</stp>
        <stp>OTHER_INVESTING_ACT_DETAILED</stp>
        <stp>FQ4 2000</stp>
        <stp>FQ4 2000</stp>
        <stp>[FA1_ivyerigx.xlsx]Cash Flow - Standardized!R24C12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4" s="4"/>
      </tp>
      <tp t="s">
        <v>—</v>
        <stp/>
        <stp>##V3_BDHV12</stp>
        <stp>XOM US Equity</stp>
        <stp>BS_GROSS_FIX_ASSET</stp>
        <stp>FQ2 2001</stp>
        <stp>FQ2 2001</stp>
        <stp>[FA1_ivyerigx.xlsx]Bal Sheet - Standardized!R20C14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3"/>
      </tp>
      <tp>
        <v>4460</v>
        <stp/>
        <stp>##V3_BDHV12</stp>
        <stp>XOM US Equity</stp>
        <stp>CF_CASH_PAID_FOR_TAX</stp>
        <stp>FQ4 2000</stp>
        <stp>FQ4 2000</stp>
        <stp>[FA1_ivyerigx.xlsx]Cash Flow - Standardized!R38C12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8" s="4"/>
      </tp>
      <tp>
        <v>3316</v>
        <stp/>
        <stp>##V3_BDHV12</stp>
        <stp>XOM US Equity</stp>
        <stp>CF_CASH_PAID_FOR_TAX</stp>
        <stp>FQ4 2001</stp>
        <stp>FQ4 2001</stp>
        <stp>[FA1_ivyerigx.xlsx]Cash Flow - Standardized!R38C16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8" s="4"/>
      </tp>
      <tp>
        <v>4849</v>
        <stp/>
        <stp>##V3_BDHV12</stp>
        <stp>XOM US Equity</stp>
        <stp>CF_CASH_PAID_FOR_TAX</stp>
        <stp>FQ1 2008</stp>
        <stp>FQ1 2008</stp>
        <stp>[FA1_ivyerigx.xlsx]Cash Flow - Standardized!R38C41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8" s="4"/>
      </tp>
      <tp>
        <v>4220</v>
        <stp/>
        <stp>##V3_BDHV12</stp>
        <stp>XOM US Equity</stp>
        <stp>OTHER_CURRENT_LIABS_SUB_DETAILED</stp>
        <stp>FQ1 2000</stp>
        <stp>FQ1 2000</stp>
        <stp>[FA1_ivyerigx.xlsx]Bal Sheet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3"/>
      </tp>
      <tp t="s">
        <v>—</v>
        <stp/>
        <stp>##V3_BDHV12</stp>
        <stp>XOM US Equity</stp>
        <stp>IS_ABNORMAL_ITEM</stp>
        <stp>FQ3 1999</stp>
        <stp>FQ3 1999</stp>
        <stp>[FA1_ivyerigx.xlsx]Income - Adjusted!R17C7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2"/>
      </tp>
      <tp t="s">
        <v>—</v>
        <stp/>
        <stp>##V3_BDHV12</stp>
        <stp>XOM US Equity</stp>
        <stp>IS_ABNORMAL_ITEM</stp>
        <stp>FQ3 1998</stp>
        <stp>FQ3 1998</stp>
        <stp>[FA1_ivyerigx.xlsx]Income - Adjusted!R17C3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2"/>
      </tp>
      <tp>
        <v>42</v>
        <stp/>
        <stp>##V3_BDHV12</stp>
        <stp>XOM US Equity</stp>
        <stp>IS_INT_EXPENSE</stp>
        <stp>FQ3 1998</stp>
        <stp>FQ3 1998</stp>
        <stp>[FA1_ivyerigx.xlsx]Income - Adjusted!R14C3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 t="s">
        <v>—</v>
        <stp/>
        <stp>##V3_BDHV12</stp>
        <stp>XOM US Equity</stp>
        <stp>IS_INT_EXPENSE</stp>
        <stp>FQ4 1998</stp>
        <stp>FQ4 1998</stp>
        <stp>[FA1_ivyerigx.xlsx]Income - Adjusted!R14C4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>
        <v>10890</v>
        <stp/>
        <stp>##V3_BDHV12</stp>
        <stp>XOM US Equity</stp>
        <stp>CF_NET_INC</stp>
        <stp>FQ1 2008</stp>
        <stp>FQ1 2008</stp>
        <stp>[FA1_ivyerigx.xlsx]Cash Flow - Standardized!R7C41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7" s="4"/>
      </tp>
      <tp>
        <v>11680</v>
        <stp/>
        <stp>##V3_BDHV12</stp>
        <stp>XOM US Equity</stp>
        <stp>CF_NET_INC</stp>
        <stp>FQ2 2008</stp>
        <stp>FQ2 2008</stp>
        <stp>[FA1_ivyerigx.xlsx]Cash Flow - Standardized!R7C42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7" s="4"/>
      </tp>
      <tp>
        <v>11660</v>
        <stp/>
        <stp>##V3_BDHV12</stp>
        <stp>XOM US Equity</stp>
        <stp>CF_NET_INC</stp>
        <stp>FQ4 2007</stp>
        <stp>FQ4 2007</stp>
        <stp>[FA1_ivyerigx.xlsx]Cash Flow - Standardized!R7C40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7" s="4"/>
      </tp>
      <tp t="s">
        <v>—</v>
        <stp/>
        <stp>##V3_BDHV12</stp>
        <stp>XOM US Equity</stp>
        <stp>IS_OPERATING_EXPN</stp>
        <stp>FQ4 1998</stp>
        <stp>FQ4 1998</stp>
        <stp>[FA1_ivyerigx.xlsx]Income - Adjusted!R10C4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0" s="2"/>
      </tp>
      <tp>
        <v>8013</v>
        <stp/>
        <stp>##V3_BDHV12</stp>
        <stp>XOM US Equity</stp>
        <stp>IS_OPERATING_EXPN</stp>
        <stp>FQ3 1998</stp>
        <stp>FQ3 1998</stp>
        <stp>[FA1_ivyerigx.xlsx]Income - Adjusted!R10C3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0" s="2"/>
      </tp>
      <tp>
        <v>39.909999999999997</v>
        <stp/>
        <stp>##V3_BDHV12</stp>
        <stp>XOM US Equity</stp>
        <stp>PX_LOW</stp>
        <stp>FQ1 2004</stp>
        <stp>FQ1 2004</stp>
        <stp>[FA1_ivyerigx.xlsx]Stock Value!R10C25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0" s="6"/>
      </tp>
      <tp>
        <v>32.03</v>
        <stp/>
        <stp>##V3_BDHV12</stp>
        <stp>XOM US Equity</stp>
        <stp>PX_LOW</stp>
        <stp>FQ4 2002</stp>
        <stp>FQ4 2002</stp>
        <stp>[FA1_ivyerigx.xlsx]Stock Value!R10C20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0" s="6"/>
      </tp>
      <tp>
        <v>41.43</v>
        <stp/>
        <stp>##V3_BDHV12</stp>
        <stp>XOM US Equity</stp>
        <stp>PX_LOW</stp>
        <stp>FQ2 2004</stp>
        <stp>FQ2 2004</stp>
        <stp>[FA1_ivyerigx.xlsx]Stock Value!R10C26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0" s="6"/>
      </tp>
      <tp>
        <v>44.2</v>
        <stp/>
        <stp>##V3_BDHV12</stp>
        <stp>XOM US Equity</stp>
        <stp>PX_LOW</stp>
        <stp>FQ3 2004</stp>
        <stp>FQ3 2004</stp>
        <stp>[FA1_ivyerigx.xlsx]Stock Value!R10C27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0" s="6"/>
      </tp>
      <tp>
        <v>83.37</v>
        <stp/>
        <stp>##V3_BDHV12</stp>
        <stp>XOM US Equity</stp>
        <stp>PX_LOW</stp>
        <stp>FQ4 2007</stp>
        <stp>FQ4 2007</stp>
        <stp>[FA1_ivyerigx.xlsx]Stock Value!R10C40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0" s="6"/>
      </tp>
      <tp>
        <v>-1285</v>
        <stp/>
        <stp>##V3_BDHV12</stp>
        <stp>XOM US Equity</stp>
        <stp>OTHER_INVESTING_ACT_DETAILED</stp>
        <stp>FQ4 2004</stp>
        <stp>FQ4 2004</stp>
        <stp>[FA1_ivyerigx.xlsx]Cash Flow - Standardized!R24C28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4" s="4"/>
      </tp>
      <tp>
        <v>-755</v>
        <stp/>
        <stp>##V3_BDHV12</stp>
        <stp>XOM US Equity</stp>
        <stp>OTHER_INVESTING_ACT_DETAILED</stp>
        <stp>FQ2 2008</stp>
        <stp>FQ2 2008</stp>
        <stp>[FA1_ivyerigx.xlsx]Cash Flow - Standardized!R24C42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4" s="4"/>
      </tp>
      <tp>
        <v>-2891</v>
        <stp/>
        <stp>##V3_BDHV12</stp>
        <stp>XOM US Equity</stp>
        <stp>CF_CASH_FROM_INV_ACT</stp>
        <stp>FQ4 2005</stp>
        <stp>FQ4 2005</stp>
        <stp>[FA1_ivyerigx.xlsx]Cash Flow - Standardized!R25C32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5" s="4"/>
      </tp>
      <tp>
        <v>3828</v>
        <stp/>
        <stp>##V3_BDHV12</stp>
        <stp>XOM US Equity</stp>
        <stp>BS_SH_CAP_AND_APIC</stp>
        <stp>FQ1 2002</stp>
        <stp>FQ1 2002</stp>
        <stp>[FA1_ivyerigx.xlsx]Bal Sheet - Standardized!R42C17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2" s="3"/>
      </tp>
      <tp>
        <v>5176</v>
        <stp/>
        <stp>##V3_BDHV12</stp>
        <stp>XOM US Equity</stp>
        <stp>BS_SH_CAP_AND_APIC</stp>
        <stp>FQ3 2005</stp>
        <stp>FQ3 2005</stp>
        <stp>[FA1_ivyerigx.xlsx]Bal Sheet - Standardized!R42C31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2" s="3"/>
      </tp>
      <tp t="s">
        <v>—</v>
        <stp/>
        <stp>##V3_BDHV12</stp>
        <stp>XOM US Equity</stp>
        <stp>BS_GROSS_FIX_ASSET</stp>
        <stp>FQ3 2007</stp>
        <stp>FQ3 2007</stp>
        <stp>[FA1_ivyerigx.xlsx]Bal Sheet - Standardized!R20C39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3"/>
      </tp>
      <tp>
        <v>4665</v>
        <stp/>
        <stp>##V3_BDHV12</stp>
        <stp>XOM US Equity</stp>
        <stp>BS_SH_CAP_AND_APIC</stp>
        <stp>FQ3 2006</stp>
        <stp>FQ3 2006</stp>
        <stp>[FA1_ivyerigx.xlsx]Bal Sheet - Standardized!R42C35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2" s="3"/>
      </tp>
      <tp>
        <v>4388</v>
        <stp/>
        <stp>##V3_BDHV12</stp>
        <stp>XOM US Equity</stp>
        <stp>BS_SH_CAP_AND_APIC</stp>
        <stp>FQ2 2004</stp>
        <stp>FQ2 2004</stp>
        <stp>[FA1_ivyerigx.xlsx]Bal Sheet - Standardized!R42C26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2" s="3"/>
      </tp>
      <tp>
        <v>-3466</v>
        <stp/>
        <stp>##V3_BDHV12</stp>
        <stp>XOM US Equity</stp>
        <stp>CF_CASH_FROM_INV_ACT</stp>
        <stp>FQ4 2006</stp>
        <stp>FQ4 2006</stp>
        <stp>[FA1_ivyerigx.xlsx]Cash Flow - Standardized!R25C36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5" s="4"/>
      </tp>
      <tp>
        <v>4089</v>
        <stp/>
        <stp>##V3_BDHV12</stp>
        <stp>XOM US Equity</stp>
        <stp>BS_SH_CAP_AND_APIC</stp>
        <stp>FQ2 2003</stp>
        <stp>FQ2 2003</stp>
        <stp>[FA1_ivyerigx.xlsx]Bal Sheet - Standardized!R42C22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2" s="3"/>
      </tp>
      <tp>
        <v>3692</v>
        <stp/>
        <stp>##V3_BDHV12</stp>
        <stp>XOM US Equity</stp>
        <stp>BS_SH_CAP_AND_APIC</stp>
        <stp>FQ1 2001</stp>
        <stp>FQ1 2001</stp>
        <stp>[FA1_ivyerigx.xlsx]Bal Sheet - Standardized!R42C13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2" s="3"/>
      </tp>
      <tp>
        <v>4933</v>
        <stp/>
        <stp>##V3_BDHV12</stp>
        <stp>XOM US Equity</stp>
        <stp>BS_SH_CAP_AND_APIC</stp>
        <stp>FQ4 2007</stp>
        <stp>FQ4 2007</stp>
        <stp>[FA1_ivyerigx.xlsx]Bal Sheet - Standardized!R42C40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2" s="3"/>
      </tp>
      <tp>
        <v>96</v>
        <stp/>
        <stp>##V3_BDHV12</stp>
        <stp>XOM US Equity</stp>
        <stp>IS_INT_EXPENSE</stp>
        <stp>FQ2 2007</stp>
        <stp>FQ2 2007</stp>
        <stp>[FA1_ivyerigx.xlsx]Income - Adjusted!R14C38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4" s="2"/>
      </tp>
      <tp>
        <v>4988</v>
        <stp/>
        <stp>##V3_BDHV12</stp>
        <stp>XOM US Equity</stp>
        <stp>BS_SH_CAP_AND_APIC</stp>
        <stp>FQ3 2007</stp>
        <stp>FQ3 2007</stp>
        <stp>[FA1_ivyerigx.xlsx]Bal Sheet - Standardized!R42C39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2" s="3"/>
      </tp>
      <tp t="s">
        <v>—</v>
        <stp/>
        <stp>##V3_BDHV12</stp>
        <stp>XOM US Equity</stp>
        <stp>BS_GROSS_FIX_ASSET</stp>
        <stp>FQ3 2006</stp>
        <stp>FQ3 2006</stp>
        <stp>[FA1_ivyerigx.xlsx]Bal Sheet - Standardized!R20C35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3"/>
      </tp>
      <tp t="s">
        <v>—</v>
        <stp/>
        <stp>##V3_BDHV12</stp>
        <stp>XOM US Equity</stp>
        <stp>BS_GROSS_FIX_ASSET</stp>
        <stp>FQ2 2004</stp>
        <stp>FQ2 2004</stp>
        <stp>[FA1_ivyerigx.xlsx]Bal Sheet - Standardized!R20C26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3"/>
      </tp>
      <tp t="s">
        <v>—</v>
        <stp/>
        <stp>##V3_BDHV12</stp>
        <stp>XOM US Equity</stp>
        <stp>BS_GROSS_FIX_ASSET</stp>
        <stp>FQ2 2003</stp>
        <stp>FQ2 2003</stp>
        <stp>[FA1_ivyerigx.xlsx]Bal Sheet - Standardized!R20C22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3"/>
      </tp>
      <tp t="s">
        <v>—</v>
        <stp/>
        <stp>##V3_BDHV12</stp>
        <stp>XOM US Equity</stp>
        <stp>BS_GROSS_FIX_ASSET</stp>
        <stp>FQ1 2001</stp>
        <stp>FQ1 2001</stp>
        <stp>[FA1_ivyerigx.xlsx]Bal Sheet - Standardized!R20C13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3"/>
      </tp>
      <tp>
        <v>280340</v>
        <stp/>
        <stp>##V3_BDHV12</stp>
        <stp>XOM US Equity</stp>
        <stp>BS_GROSS_FIX_ASSET</stp>
        <stp>FQ4 2007</stp>
        <stp>FQ4 2007</stp>
        <stp>[FA1_ivyerigx.xlsx]Bal Sheet - Standardized!R20C40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3"/>
      </tp>
      <tp>
        <v>-51</v>
        <stp/>
        <stp>##V3_BDHV12</stp>
        <stp>XOM US Equity</stp>
        <stp>OTHER_INVESTING_ACT_DETAILED</stp>
        <stp>FQ4 2003</stp>
        <stp>FQ4 2003</stp>
        <stp>[FA1_ivyerigx.xlsx]Cash Flow - Standardized!R24C24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4" s="4"/>
      </tp>
      <tp t="s">
        <v>—</v>
        <stp/>
        <stp>##V3_BDHV12</stp>
        <stp>XOM US Equity</stp>
        <stp>OPER_INC_PER_SH</stp>
        <stp>FQ4 1998</stp>
        <stp>FQ4 1998</stp>
        <stp>[FA1_ivyerigx.xlsx]Per Share!R13C4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3" s="5"/>
      </tp>
      <tp>
        <v>0.34129999999999999</v>
        <stp/>
        <stp>##V3_BDHV12</stp>
        <stp>XOM US Equity</stp>
        <stp>OPER_INC_PER_SH</stp>
        <stp>FQ3 1998</stp>
        <stp>FQ3 1998</stp>
        <stp>[FA1_ivyerigx.xlsx]Per Share!R13C3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3" s="5"/>
      </tp>
      <tp t="s">
        <v>—</v>
        <stp/>
        <stp>##V3_BDHV12</stp>
        <stp>XOM US Equity</stp>
        <stp>BS_GROSS_FIX_ASSET</stp>
        <stp>FQ1 2002</stp>
        <stp>FQ1 2002</stp>
        <stp>[FA1_ivyerigx.xlsx]Bal Sheet - Standardized!R20C17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3"/>
      </tp>
      <tp>
        <v>-677</v>
        <stp/>
        <stp>##V3_BDHV12</stp>
        <stp>XOM US Equity</stp>
        <stp>OTHER_INVESTING_ACT_DETAILED</stp>
        <stp>FQ4 2002</stp>
        <stp>FQ4 2002</stp>
        <stp>[FA1_ivyerigx.xlsx]Cash Flow - Standardized!R24C20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4" s="4"/>
      </tp>
      <tp t="s">
        <v>—</v>
        <stp/>
        <stp>##V3_BDHV12</stp>
        <stp>XOM US Equity</stp>
        <stp>BS_GROSS_FIX_ASSET</stp>
        <stp>FQ3 2005</stp>
        <stp>FQ3 2005</stp>
        <stp>[FA1_ivyerigx.xlsx]Bal Sheet - Standardized!R20C31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3"/>
      </tp>
      <tp>
        <v>1746</v>
        <stp/>
        <stp>##V3_BDHV12</stp>
        <stp>XOM US Equity</stp>
        <stp>CF_CASH_PAID_FOR_TAX</stp>
        <stp>FQ4 2002</stp>
        <stp>FQ4 2002</stp>
        <stp>[FA1_ivyerigx.xlsx]Cash Flow - Standardized!R38C20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8" s="4"/>
      </tp>
      <tp>
        <v>2911</v>
        <stp/>
        <stp>##V3_BDHV12</stp>
        <stp>XOM US Equity</stp>
        <stp>CF_CASH_PAID_FOR_TAX</stp>
        <stp>FQ4 2003</stp>
        <stp>FQ4 2003</stp>
        <stp>[FA1_ivyerigx.xlsx]Cash Flow - Standardized!R38C24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8" s="4"/>
      </tp>
      <tp>
        <v>5018</v>
        <stp/>
        <stp>##V3_BDHV12</stp>
        <stp>XOM US Equity</stp>
        <stp>CF_CASH_PAID_FOR_TAX</stp>
        <stp>FQ4 2004</stp>
        <stp>FQ4 2004</stp>
        <stp>[FA1_ivyerigx.xlsx]Cash Flow - Standardized!R38C28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8" s="4"/>
      </tp>
      <tp>
        <v>11078</v>
        <stp/>
        <stp>##V3_BDHV12</stp>
        <stp>XOM US Equity</stp>
        <stp>CF_CASH_PAID_FOR_TAX</stp>
        <stp>FQ2 2008</stp>
        <stp>FQ2 2008</stp>
        <stp>[FA1_ivyerigx.xlsx]Cash Flow - Standardized!R38C42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8" s="4"/>
      </tp>
      <tp>
        <v>25631</v>
        <stp/>
        <stp>##V3_BDHV12</stp>
        <stp>XOM US Equity</stp>
        <stp>ACCT_PAYABLE_&amp;_ACCRUALS_DETAILED</stp>
        <stp>FQ1 2000</stp>
        <stp>FQ1 2000</stp>
        <stp>[FA1_ivyerigx.xlsx]Bal Sheet - Standardized!R30C9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3"/>
      </tp>
      <tp t="s">
        <v>—</v>
        <stp/>
        <stp>##V3_BDHV12</stp>
        <stp>XOM US Equity</stp>
        <stp>TANG_BOOK_VAL_PER_SH</stp>
        <stp>FQ4 1999</stp>
        <stp>FQ4 1999</stp>
        <stp>[FA1_ivyerigx.xlsx]Per Share!R27C8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7" s="5"/>
      </tp>
      <tp>
        <v>22788</v>
        <stp/>
        <stp>##V3_BDHV12</stp>
        <stp>XOM US Equity</stp>
        <stp>BS_ACCT_PAYABLE</stp>
        <stp>FQ4 2005</stp>
        <stp>FQ4 2005</stp>
        <stp>[FA1_ivyerigx.xlsx]Bal Sheet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3"/>
      </tp>
      <tp>
        <v>39082</v>
        <stp/>
        <stp>##V3_BDHV12</stp>
        <stp>XOM US Equity</stp>
        <stp>BS_ACCT_PAYABLE</stp>
        <stp>FQ4 2006</stp>
        <stp>FQ4 2006</stp>
        <stp>[FA1_ivyerigx.xlsx]Bal Sheet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3"/>
      </tp>
      <tp>
        <v>0.43</v>
        <stp/>
        <stp>##V3_BDHV12</stp>
        <stp>XOM US Equity</stp>
        <stp>IS_DIL_EPS_BEF_XO</stp>
        <stp>FQ1 2000</stp>
        <stp>FQ1 2000</stp>
        <stp>[FA1_ivyerigx.xlsx]Income - Adjusted!R40C9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0" s="2"/>
      </tp>
      <tp>
        <v>3721</v>
        <stp/>
        <stp>##V3_BDHV12</stp>
        <stp>XOM US Equity</stp>
        <stp>CF_FREE_CASH_FLOW</stp>
        <stp>FQ1 2000</stp>
        <stp>FQ1 2000</stp>
        <stp>[FA1_ivyerigx.xlsx]Cash Flow - Standardized!R46C9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6" s="4"/>
      </tp>
      <tp>
        <v>7156</v>
        <stp/>
        <stp>##V3_BDHV12</stp>
        <stp>XOM US Equity</stp>
        <stp>CF_CASH_FROM_OPER</stp>
        <stp>FQ4 1999</stp>
        <stp>FQ4 1999</stp>
        <stp>[FA1_ivyerigx.xlsx]Cash Flow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4"/>
      </tp>
      <tp>
        <v>7084</v>
        <stp/>
        <stp>##V3_BDHV12</stp>
        <stp>XOM US Equity</stp>
        <stp>CF_CASH_FROM_OPER</stp>
        <stp>FQ4 1998</stp>
        <stp>FQ4 1998</stp>
        <stp>[FA1_ivyerigx.xlsx]Cash Flow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4"/>
      </tp>
      <tp>
        <v>3607</v>
        <stp/>
        <stp>##V3_BDHV12</stp>
        <stp>XOM US Equity</stp>
        <stp>CF_CASH_FROM_OPER</stp>
        <stp>FQ3 1998</stp>
        <stp>FQ3 1998</stp>
        <stp>[FA1_ivyerigx.xlsx]Cash Flow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4"/>
      </tp>
      <tp>
        <v>0.45429999999999998</v>
        <stp/>
        <stp>##V3_BDHV12</stp>
        <stp>XOM US Equity</stp>
        <stp>CASH_ST_INVESTMENTS_PER_SH</stp>
        <stp>FQ3 1998</stp>
        <stp>FQ3 1998</stp>
        <stp>[FA1_ivyerigx.xlsx]Per Share!R25C3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5" s="5"/>
      </tp>
      <tp>
        <v>0.3009</v>
        <stp/>
        <stp>##V3_BDHV12</stp>
        <stp>XOM US Equity</stp>
        <stp>CASH_ST_INVESTMENTS_PER_SH</stp>
        <stp>FQ4 1998</stp>
        <stp>FQ4 1998</stp>
        <stp>[FA1_ivyerigx.xlsx]Per Share!R25C4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5" s="5"/>
      </tp>
      <tp>
        <v>10026</v>
        <stp/>
        <stp>##V3_BDHV12</stp>
        <stp>XOM US Equity</stp>
        <stp>EBITDA</stp>
        <stp>FQ4 1999</stp>
        <stp>FQ4 1999</stp>
        <stp>[FA1_ivyerigx.xlsx]Income - Adjusted!R45C8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45" s="2"/>
      </tp>
      <tp>
        <v>2752</v>
        <stp/>
        <stp>##V3_BDHV12</stp>
        <stp>XOM US Equity</stp>
        <stp>CF_CASH_FROM_OPER</stp>
        <stp>FQ1 1999</stp>
        <stp>FQ1 1999</stp>
        <stp>[FA1_ivyerigx.xlsx]Cash Flow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4"/>
      </tp>
      <tp>
        <v>2288</v>
        <stp/>
        <stp>##V3_BDHV12</stp>
        <stp>XOM US Equity</stp>
        <stp>CF_CASH_FROM_OPER</stp>
        <stp>FQ2 1999</stp>
        <stp>FQ2 1999</stp>
        <stp>[FA1_ivyerigx.xlsx]Cash Flow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4"/>
      </tp>
      <tp>
        <v>2817</v>
        <stp/>
        <stp>##V3_BDHV12</stp>
        <stp>XOM US Equity</stp>
        <stp>CF_CASH_FROM_OPER</stp>
        <stp>FQ3 1999</stp>
        <stp>FQ3 1999</stp>
        <stp>[FA1_ivyerigx.xlsx]Cash Flow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4"/>
      </tp>
      <tp>
        <v>0.53490000000000004</v>
        <stp/>
        <stp>##V3_BDHV12</stp>
        <stp>XOM US Equity</stp>
        <stp>FREE_CASH_FLOW_PER_SH</stp>
        <stp>FQ1 2000</stp>
        <stp>FQ1 2000</stp>
        <stp>[FA1_ivyerigx.xlsx]Per Share!R23C9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3" s="5"/>
      </tp>
      <tp>
        <v>-3136</v>
        <stp/>
        <stp>##V3_BDHV12</stp>
        <stp>XOM US Equity</stp>
        <stp>CF_CASH_FROM_INV_ACT</stp>
        <stp>FQ4 2003</stp>
        <stp>FQ4 2003</stp>
        <stp>[FA1_ivyerigx.xlsx]Cash Flow - Standardized!R25C24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5" s="4"/>
      </tp>
      <tp>
        <v>5100</v>
        <stp/>
        <stp>##V3_BDHV12</stp>
        <stp>XOM US Equity</stp>
        <stp>BS_SH_CAP_AND_APIC</stp>
        <stp>FQ2 2005</stp>
        <stp>FQ2 2005</stp>
        <stp>[FA1_ivyerigx.xlsx]Bal Sheet - Standardized!R42C30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2" s="3"/>
      </tp>
      <tp>
        <v>-2233</v>
        <stp/>
        <stp>##V3_BDHV12</stp>
        <stp>XOM US Equity</stp>
        <stp>CF_CASH_FROM_INV_ACT</stp>
        <stp>FQ4 2002</stp>
        <stp>FQ4 2002</stp>
        <stp>[FA1_ivyerigx.xlsx]Cash Flow - Standardized!R25C20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5" s="4"/>
      </tp>
      <tp t="s">
        <v>—</v>
        <stp/>
        <stp>##V3_BDHV12</stp>
        <stp>XOM US Equity</stp>
        <stp>BS_GROSS_FIX_ASSET</stp>
        <stp>FQ2 2007</stp>
        <stp>FQ2 2007</stp>
        <stp>[FA1_ivyerigx.xlsx]Bal Sheet - Standardized!R20C38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3"/>
      </tp>
      <tp>
        <v>4499</v>
        <stp/>
        <stp>##V3_BDHV12</stp>
        <stp>XOM US Equity</stp>
        <stp>BS_SH_CAP_AND_APIC</stp>
        <stp>FQ2 2006</stp>
        <stp>FQ2 2006</stp>
        <stp>[FA1_ivyerigx.xlsx]Bal Sheet - Standardized!R42C34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2" s="3"/>
      </tp>
      <tp>
        <v>4452</v>
        <stp/>
        <stp>##V3_BDHV12</stp>
        <stp>XOM US Equity</stp>
        <stp>BS_SH_CAP_AND_APIC</stp>
        <stp>FQ3 2004</stp>
        <stp>FQ3 2004</stp>
        <stp>[FA1_ivyerigx.xlsx]Bal Sheet - Standardized!R42C27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2" s="3"/>
      </tp>
      <tp>
        <v>4100</v>
        <stp/>
        <stp>##V3_BDHV12</stp>
        <stp>XOM US Equity</stp>
        <stp>BS_SH_CAP_AND_APIC</stp>
        <stp>FQ3 2003</stp>
        <stp>FQ3 2003</stp>
        <stp>[FA1_ivyerigx.xlsx]Bal Sheet - Standardized!R42C23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2" s="3"/>
      </tp>
      <tp>
        <v>73</v>
        <stp/>
        <stp>##V3_BDHV12</stp>
        <stp>XOM US Equity</stp>
        <stp>IS_INT_EXPENSE</stp>
        <stp>FQ3 2007</stp>
        <stp>FQ3 2007</stp>
        <stp>[FA1_ivyerigx.xlsx]Income - Adjusted!R14C39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4" s="2"/>
      </tp>
      <tp>
        <v>4795</v>
        <stp/>
        <stp>##V3_BDHV12</stp>
        <stp>XOM US Equity</stp>
        <stp>BS_SH_CAP_AND_APIC</stp>
        <stp>FQ2 2007</stp>
        <stp>FQ2 2007</stp>
        <stp>[FA1_ivyerigx.xlsx]Bal Sheet - Standardized!R42C38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2" s="3"/>
      </tp>
      <tp t="s">
        <v>—</v>
        <stp/>
        <stp>##V3_BDHV12</stp>
        <stp>XOM US Equity</stp>
        <stp>BS_GROSS_FIX_ASSET</stp>
        <stp>FQ2 2006</stp>
        <stp>FQ2 2006</stp>
        <stp>[FA1_ivyerigx.xlsx]Bal Sheet - Standardized!R20C34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3"/>
      </tp>
      <tp t="s">
        <v>—</v>
        <stp/>
        <stp>##V3_BDHV12</stp>
        <stp>XOM US Equity</stp>
        <stp>BS_GROSS_FIX_ASSET</stp>
        <stp>FQ3 2004</stp>
        <stp>FQ3 2004</stp>
        <stp>[FA1_ivyerigx.xlsx]Bal Sheet - Standardized!R20C27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3"/>
      </tp>
      <tp>
        <v>-3890</v>
        <stp/>
        <stp>##V3_BDHV12</stp>
        <stp>XOM US Equity</stp>
        <stp>CF_CASH_FROM_INV_ACT</stp>
        <stp>FQ4 2004</stp>
        <stp>FQ4 2004</stp>
        <stp>[FA1_ivyerigx.xlsx]Cash Flow - Standardized!R25C28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5" s="4"/>
      </tp>
      <tp>
        <v>-4468</v>
        <stp/>
        <stp>##V3_BDHV12</stp>
        <stp>XOM US Equity</stp>
        <stp>CF_CASH_FROM_INV_ACT</stp>
        <stp>FQ2 2008</stp>
        <stp>FQ2 2008</stp>
        <stp>[FA1_ivyerigx.xlsx]Cash Flow - Standardized!R25C42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5" s="4"/>
      </tp>
      <tp t="s">
        <v>—</v>
        <stp/>
        <stp>##V3_BDHV12</stp>
        <stp>XOM US Equity</stp>
        <stp>BS_GROSS_FIX_ASSET</stp>
        <stp>FQ3 2003</stp>
        <stp>FQ3 2003</stp>
        <stp>[FA1_ivyerigx.xlsx]Bal Sheet - Standardized!R20C23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3"/>
      </tp>
      <tp>
        <v>-448</v>
        <stp/>
        <stp>##V3_BDHV12</stp>
        <stp>XOM US Equity</stp>
        <stp>OTHER_INVESTING_ACT_DETAILED</stp>
        <stp>FQ4 2005</stp>
        <stp>FQ4 2005</stp>
        <stp>[FA1_ivyerigx.xlsx]Cash Flow - Standardized!R24C32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4" s="4"/>
      </tp>
      <tp>
        <v>0.85660000000000003</v>
        <stp/>
        <stp>##V3_BDHV12</stp>
        <stp>XOM US Equity</stp>
        <stp>OPER_INC_PER_SH</stp>
        <stp>FQ4 1999</stp>
        <stp>FQ4 1999</stp>
        <stp>[FA1_ivyerigx.xlsx]Per Share!R13C8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3" s="5"/>
      </tp>
      <tp>
        <v>0.24590000000000001</v>
        <stp/>
        <stp>##V3_BDHV12</stp>
        <stp>XOM US Equity</stp>
        <stp>OPER_INC_PER_SH</stp>
        <stp>FQ2 1999</stp>
        <stp>FQ2 1999</stp>
        <stp>[FA1_ivyerigx.xlsx]Per Share!R13C6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3" s="5"/>
      </tp>
      <tp>
        <v>0.41599999999999998</v>
        <stp/>
        <stp>##V3_BDHV12</stp>
        <stp>XOM US Equity</stp>
        <stp>OPER_INC_PER_SH</stp>
        <stp>FQ3 1999</stp>
        <stp>FQ3 1999</stp>
        <stp>[FA1_ivyerigx.xlsx]Per Share!R13C7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3" s="5"/>
      </tp>
      <tp>
        <v>0.1003</v>
        <stp/>
        <stp>##V3_BDHV12</stp>
        <stp>XOM US Equity</stp>
        <stp>OPER_INC_PER_SH</stp>
        <stp>FQ1 1999</stp>
        <stp>FQ1 1999</stp>
        <stp>[FA1_ivyerigx.xlsx]Per Share!R13C5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3" s="5"/>
      </tp>
      <tp>
        <v>-2385</v>
        <stp/>
        <stp>##V3_BDHV12</stp>
        <stp>XOM US Equity</stp>
        <stp>OTHER_INVESTING_ACT_DETAILED</stp>
        <stp>FQ4 2006</stp>
        <stp>FQ4 2006</stp>
        <stp>[FA1_ivyerigx.xlsx]Cash Flow - Standardized!R24C36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4" s="4"/>
      </tp>
      <tp t="s">
        <v>—</v>
        <stp/>
        <stp>##V3_BDHV12</stp>
        <stp>XOM US Equity</stp>
        <stp>BS_GROSS_FIX_ASSET</stp>
        <stp>FQ2 2005</stp>
        <stp>FQ2 2005</stp>
        <stp>[FA1_ivyerigx.xlsx]Bal Sheet - Standardized!R20C30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3"/>
      </tp>
      <tp>
        <v>7528</v>
        <stp/>
        <stp>##V3_BDHV12</stp>
        <stp>XOM US Equity</stp>
        <stp>CF_CASH_PAID_FOR_TAX</stp>
        <stp>FQ4 2006</stp>
        <stp>FQ4 2006</stp>
        <stp>[FA1_ivyerigx.xlsx]Cash Flow - Standardized!R38C36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8" s="4"/>
      </tp>
      <tp>
        <v>144521</v>
        <stp/>
        <stp>##V3_BDHV12</stp>
        <stp>XOM US Equity</stp>
        <stp>TOT_LIAB_AND_EQY</stp>
        <stp>FQ4 1999</stp>
        <stp>FQ4 1999</stp>
        <stp>[FA1_ivyerigx.xlsx]Bal Sheet - Standardized!R49C8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9" s="3"/>
      </tp>
      <tp>
        <v>7431</v>
        <stp/>
        <stp>##V3_BDHV12</stp>
        <stp>XOM US Equity</stp>
        <stp>CF_CASH_PAID_FOR_TAX</stp>
        <stp>FQ4 2005</stp>
        <stp>FQ4 2005</stp>
        <stp>[FA1_ivyerigx.xlsx]Cash Flow - Standardized!R38C32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8" s="4"/>
      </tp>
      <tp>
        <v>94394</v>
        <stp/>
        <stp>##V3_BDHV12</stp>
        <stp>XOM US Equity</stp>
        <stp>TOT_LIAB_AND_EQY</stp>
        <stp>FQ3 1999</stp>
        <stp>FQ3 1999</stp>
        <stp>[FA1_ivyerigx.xlsx]Bal Sheet - Standardized!R49C7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9" s="3"/>
      </tp>
      <tp>
        <v>91235</v>
        <stp/>
        <stp>##V3_BDHV12</stp>
        <stp>XOM US Equity</stp>
        <stp>TOT_LIAB_AND_EQY</stp>
        <stp>FQ2 1999</stp>
        <stp>FQ2 1999</stp>
        <stp>[FA1_ivyerigx.xlsx]Bal Sheet - Standardized!R49C6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9" s="3"/>
      </tp>
      <tp>
        <v>90731</v>
        <stp/>
        <stp>##V3_BDHV12</stp>
        <stp>XOM US Equity</stp>
        <stp>TOT_LIAB_AND_EQY</stp>
        <stp>FQ1 1999</stp>
        <stp>FQ1 1999</stp>
        <stp>[FA1_ivyerigx.xlsx]Bal Sheet - Standardized!R49C5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9" s="3"/>
      </tp>
      <tp>
        <v>92630</v>
        <stp/>
        <stp>##V3_BDHV12</stp>
        <stp>XOM US Equity</stp>
        <stp>TOT_LIAB_AND_EQY</stp>
        <stp>FQ4 1998</stp>
        <stp>FQ4 1998</stp>
        <stp>[FA1_ivyerigx.xlsx]Bal Sheet - Standardized!R49C4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9" s="3"/>
      </tp>
      <tp>
        <v>95352</v>
        <stp/>
        <stp>##V3_BDHV12</stp>
        <stp>XOM US Equity</stp>
        <stp>TOT_LIAB_AND_EQY</stp>
        <stp>FQ3 1998</stp>
        <stp>FQ3 1998</stp>
        <stp>[FA1_ivyerigx.xlsx]Bal Sheet - Standardized!R49C3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9" s="3"/>
      </tp>
      <tp>
        <v>15334</v>
        <stp/>
        <stp>##V3_BDHV12</stp>
        <stp>XOM US Equity</stp>
        <stp>BS_ACCT_PAYABLE</stp>
        <stp>FQ4 2003</stp>
        <stp>FQ4 2003</stp>
        <stp>[FA1_ivyerigx.xlsx]Bal Sheet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3"/>
      </tp>
      <tp>
        <v>13792</v>
        <stp/>
        <stp>##V3_BDHV12</stp>
        <stp>XOM US Equity</stp>
        <stp>BS_ACCT_PAYABLE</stp>
        <stp>FQ4 2002</stp>
        <stp>FQ4 2002</stp>
        <stp>[FA1_ivyerigx.xlsx]Bal Sheet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3"/>
      </tp>
      <tp>
        <v>530</v>
        <stp/>
        <stp>##V3_BDHV12</stp>
        <stp>XOM US Equity</stp>
        <stp>IS_ABNORMAL_ITEM</stp>
        <stp>FQ1 2000</stp>
        <stp>FQ1 2000</stp>
        <stp>[FA1_ivyerigx.xlsx]Income - Adjusted!R17C9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2"/>
      </tp>
      <tp>
        <v>60262</v>
        <stp/>
        <stp>##V3_BDHV12</stp>
        <stp>XOM US Equity</stp>
        <stp>BS_ACCT_PAYABLE</stp>
        <stp>FQ2 2008</stp>
        <stp>FQ2 2008</stp>
        <stp>[FA1_ivyerigx.xlsx]Bal Sheet - Standardized!R31C42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3"/>
      </tp>
      <tp>
        <v>18186</v>
        <stp/>
        <stp>##V3_BDHV12</stp>
        <stp>XOM US Equity</stp>
        <stp>BS_ACCT_PAYABLE</stp>
        <stp>FQ4 2004</stp>
        <stp>FQ4 2004</stp>
        <stp>[FA1_ivyerigx.xlsx]Bal Sheet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3"/>
      </tp>
      <tp t="s">
        <v>—</v>
        <stp/>
        <stp>##V3_BDHV12</stp>
        <stp>XOM US Equity</stp>
        <stp>IS_ABNORMAL_ITEM</stp>
        <stp>FQ1 1999</stp>
        <stp>FQ1 1999</stp>
        <stp>[FA1_ivyerigx.xlsx]Income - Adjusted!R17C5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2"/>
      </tp>
      <tp>
        <v>-1658</v>
        <stp/>
        <stp>##V3_BDHV12</stp>
        <stp>XOM US Equity</stp>
        <stp>CHG_IN_FXD_&amp;_INTANG_AST_DETAILED</stp>
        <stp>FQ1 2002</stp>
        <stp>FQ1 2002</stp>
        <stp>[FA1_ivyerigx.xlsx]Cash Flow - Standardized!R18C17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8" s="4"/>
      </tp>
      <tp>
        <v>-2738</v>
        <stp/>
        <stp>##V3_BDHV12</stp>
        <stp>XOM US Equity</stp>
        <stp>CHG_IN_FXD_&amp;_INTANG_AST_DETAILED</stp>
        <stp>FQ3 2005</stp>
        <stp>FQ3 2005</stp>
        <stp>[FA1_ivyerigx.xlsx]Cash Flow - Standardized!R18C31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8" s="4"/>
      </tp>
      <tp>
        <v>-3715</v>
        <stp/>
        <stp>##V3_BDHV12</stp>
        <stp>XOM US Equity</stp>
        <stp>CHG_IN_FXD_&amp;_INTANG_AST_DETAILED</stp>
        <stp>FQ3 2006</stp>
        <stp>FQ3 2006</stp>
        <stp>[FA1_ivyerigx.xlsx]Cash Flow - Standardized!R18C35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8" s="4"/>
      </tp>
      <tp>
        <v>-2004</v>
        <stp/>
        <stp>##V3_BDHV12</stp>
        <stp>XOM US Equity</stp>
        <stp>CHG_IN_FXD_&amp;_INTANG_AST_DETAILED</stp>
        <stp>FQ2 2004</stp>
        <stp>FQ2 2004</stp>
        <stp>[FA1_ivyerigx.xlsx]Cash Flow - Standardized!R18C26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8" s="4"/>
      </tp>
      <tp>
        <v>-3046</v>
        <stp/>
        <stp>##V3_BDHV12</stp>
        <stp>XOM US Equity</stp>
        <stp>CHG_IN_FXD_&amp;_INTANG_AST_DETAILED</stp>
        <stp>FQ2 2003</stp>
        <stp>FQ2 2003</stp>
        <stp>[FA1_ivyerigx.xlsx]Cash Flow - Standardized!R18C22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8" s="4"/>
      </tp>
      <tp>
        <v>-1741</v>
        <stp/>
        <stp>##V3_BDHV12</stp>
        <stp>XOM US Equity</stp>
        <stp>CHG_IN_FXD_&amp;_INTANG_AST_DETAILED</stp>
        <stp>FQ1 2001</stp>
        <stp>FQ1 2001</stp>
        <stp>[FA1_ivyerigx.xlsx]Cash Flow - Standardized!R18C13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8" s="4"/>
      </tp>
      <tp>
        <v>-2778</v>
        <stp/>
        <stp>##V3_BDHV12</stp>
        <stp>XOM US Equity</stp>
        <stp>CHG_IN_FXD_&amp;_INTANG_AST_DETAILED</stp>
        <stp>FQ4 2007</stp>
        <stp>FQ4 2007</stp>
        <stp>[FA1_ivyerigx.xlsx]Cash Flow - Standardized!R18C40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8" s="4"/>
      </tp>
      <tp>
        <v>-3186</v>
        <stp/>
        <stp>##V3_BDHV12</stp>
        <stp>XOM US Equity</stp>
        <stp>CHG_IN_FXD_&amp;_INTANG_AST_DETAILED</stp>
        <stp>FQ3 2007</stp>
        <stp>FQ3 2007</stp>
        <stp>[FA1_ivyerigx.xlsx]Cash Flow - Standardized!R18C39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8" s="4"/>
      </tp>
      <tp>
        <v>88504</v>
        <stp/>
        <stp>##V3_BDHV12</stp>
        <stp>XOM US Equity</stp>
        <stp>SALES_REV_TURN</stp>
        <stp>FQ3 2006</stp>
        <stp>FQ3 2006</stp>
        <stp>[FA1_ivyerigx.xlsx]Income - Adjusted!R6C35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6" s="2"/>
      </tp>
      <tp>
        <v>87813</v>
        <stp/>
        <stp>##V3_BDHV12</stp>
        <stp>XOM US Equity</stp>
        <stp>SALES_REV_TURN</stp>
        <stp>FQ2 2006</stp>
        <stp>FQ2 2006</stp>
        <stp>[FA1_ivyerigx.xlsx]Income - Adjusted!R6C34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6" s="2"/>
      </tp>
      <tp>
        <v>62706</v>
        <stp/>
        <stp>##V3_BDHV12</stp>
        <stp>XOM US Equity</stp>
        <stp>SALES_REV_TURN</stp>
        <stp>FQ2 2004</stp>
        <stp>FQ2 2004</stp>
        <stp>[FA1_ivyerigx.xlsx]Income - Adjusted!R6C26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6" s="2"/>
      </tp>
      <tp>
        <v>67809</v>
        <stp/>
        <stp>##V3_BDHV12</stp>
        <stp>XOM US Equity</stp>
        <stp>SALES_REV_TURN</stp>
        <stp>FQ3 2004</stp>
        <stp>FQ3 2004</stp>
        <stp>[FA1_ivyerigx.xlsx]Income - Adjusted!R6C27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6" s="2"/>
      </tp>
      <tp>
        <v>59644</v>
        <stp/>
        <stp>##V3_BDHV12</stp>
        <stp>XOM US Equity</stp>
        <stp>SALES_REV_TURN</stp>
        <stp>FQ1 2004</stp>
        <stp>FQ1 2004</stp>
        <stp>[FA1_ivyerigx.xlsx]Income - Adjusted!R6C25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6" s="2"/>
      </tp>
      <tp>
        <v>6770</v>
        <stp/>
        <stp>##V3_BDHV12</stp>
        <stp>XOM US Equity</stp>
        <stp>IS_INC_BEF_XO_ITEM</stp>
        <stp>FQ4 2003</stp>
        <stp>FQ4 2003</stp>
        <stp>[FA1_ivyerigx.xlsx]Income - Adjusted!R20C24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0" s="2"/>
      </tp>
      <tp>
        <v>10094</v>
        <stp/>
        <stp>##V3_BDHV12</stp>
        <stp>XOM US Equity</stp>
        <stp>IS_INC_BEF_XO_ITEM</stp>
        <stp>FQ3 2005</stp>
        <stp>FQ3 2005</stp>
        <stp>[FA1_ivyerigx.xlsx]Income - Adjusted!R20C31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0" s="2"/>
      </tp>
      <tp>
        <v>5879</v>
        <stp/>
        <stp>##V3_BDHV12</stp>
        <stp>XOM US Equity</stp>
        <stp>IS_INC_BEF_XO_ITEM</stp>
        <stp>FQ3 2004</stp>
        <stp>FQ3 2004</stp>
        <stp>[FA1_ivyerigx.xlsx]Income - Adjusted!R20C27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0" s="2"/>
      </tp>
      <tp>
        <v>5062</v>
        <stp/>
        <stp>##V3_BDHV12</stp>
        <stp>XOM US Equity</stp>
        <stp>IS_INC_BEF_XO_ITEM</stp>
        <stp>FQ4 2000</stp>
        <stp>FQ4 2000</stp>
        <stp>[FA1_ivyerigx.xlsx]Income - Adjusted!R20C12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0" s="2"/>
      </tp>
      <tp>
        <v>9530</v>
        <stp/>
        <stp>##V3_BDHV12</stp>
        <stp>XOM US Equity</stp>
        <stp>IS_INC_BEF_XO_ITEM</stp>
        <stp>FQ1 2007</stp>
        <stp>FQ1 2007</stp>
        <stp>[FA1_ivyerigx.xlsx]Income - Adjusted!R20C37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0" s="2"/>
      </tp>
      <tp>
        <v>78.760000000000005</v>
        <stp/>
        <stp>##V3_BDHV12</stp>
        <stp>XOM US Equity</stp>
        <stp>PX_LOW</stp>
        <stp>FQ3 2007</stp>
        <stp>FQ3 2007</stp>
        <stp>[FA1_ivyerigx.xlsx]Stock Value!R10C39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0" s="6"/>
      </tp>
      <tp>
        <v>75.28</v>
        <stp/>
        <stp>##V3_BDHV12</stp>
        <stp>XOM US Equity</stp>
        <stp>PX_LOW</stp>
        <stp>FQ2 2007</stp>
        <stp>FQ2 2007</stp>
        <stp>[FA1_ivyerigx.xlsx]Stock Value!R10C38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0" s="6"/>
      </tp>
      <tp>
        <v>38.5</v>
        <stp/>
        <stp>##V3_BDHV12</stp>
        <stp>XOM US Equity</stp>
        <stp>PX_LOW</stp>
        <stp>FQ2 2002</stp>
        <stp>FQ2 2002</stp>
        <stp>[FA1_ivyerigx.xlsx]Stock Value!R10C18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0" s="6"/>
      </tp>
      <tp>
        <v>29.75</v>
        <stp/>
        <stp>##V3_BDHV12</stp>
        <stp>XOM US Equity</stp>
        <stp>PX_LOW</stp>
        <stp>FQ3 2002</stp>
        <stp>FQ3 2002</stp>
        <stp>[FA1_ivyerigx.xlsx]Stock Value!R10C19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0" s="6"/>
      </tp>
      <tp t="s">
        <v>—</v>
        <stp/>
        <stp>##V3_BDHV12</stp>
        <stp>XOM US Equity</stp>
        <stp>BS_OPTIONS_OUTSTANDING</stp>
        <stp>FQ1 2000</stp>
        <stp>FQ1 2000</stp>
        <stp>[FA1_ivyerigx.xlsx]Bal Sheet - Standardized!R59C9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9" s="3"/>
      </tp>
      <tp>
        <v>70</v>
        <stp/>
        <stp>##V3_BDHV12</stp>
        <stp>XOM US Equity</stp>
        <stp>IS_INT_EXPENSE</stp>
        <stp>FQ2 2003</stp>
        <stp>FQ2 2003</stp>
        <stp>[FA1_ivyerigx.xlsx]Income - Adjusted!R14C22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4" s="2"/>
      </tp>
      <tp>
        <v>108</v>
        <stp/>
        <stp>##V3_BDHV12</stp>
        <stp>XOM US Equity</stp>
        <stp>IS_INT_EXPENSE</stp>
        <stp>FQ3 2000</stp>
        <stp>FQ3 2000</stp>
        <stp>[FA1_ivyerigx.xlsx]Income - Adjusted!R14C11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48</v>
        <stp/>
        <stp>##V3_BDHV12</stp>
        <stp>XOM US Equity</stp>
        <stp>IS_INT_EXPENSE</stp>
        <stp>FQ1 2004</stp>
        <stp>FQ1 2004</stp>
        <stp>[FA1_ivyerigx.xlsx]Income - Adjusted!R14C25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4" s="2"/>
      </tp>
      <tp>
        <v>177547.5</v>
        <stp/>
        <stp>##V3_BDHV12</stp>
        <stp>XOM US Equity</stp>
        <stp>HISTORICAL_MARKET_CAP</stp>
        <stp>FQ4 1998</stp>
        <stp>FQ4 1998</stp>
        <stp>[FA1_ivyerigx.xlsx]Stock Value!R12C4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2" s="6"/>
      </tp>
      <tp>
        <v>171705.61730000001</v>
        <stp/>
        <stp>##V3_BDHV12</stp>
        <stp>XOM US Equity</stp>
        <stp>HISTORICAL_MARKET_CAP</stp>
        <stp>FQ3 1998</stp>
        <stp>FQ3 1998</stp>
        <stp>[FA1_ivyerigx.xlsx]Stock Value!R12C3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2" s="6"/>
      </tp>
      <tp>
        <v>53292</v>
        <stp/>
        <stp>##V3_BDHV12</stp>
        <stp>XOM US Equity</stp>
        <stp>OTHER_NONCUR_LIABS_SUB_DETAILED</stp>
        <stp>FQ2 2007</stp>
        <stp>FQ2 2007</stp>
        <stp>[FA1_ivyerigx.xlsx]Bal Sheet - Standardized!R37C38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7" s="3"/>
      </tp>
      <tp>
        <v>47299</v>
        <stp/>
        <stp>##V3_BDHV12</stp>
        <stp>XOM US Equity</stp>
        <stp>OTHER_NONCUR_LIABS_SUB_DETAILED</stp>
        <stp>FQ2 2006</stp>
        <stp>FQ2 2006</stp>
        <stp>[FA1_ivyerigx.xlsx]Bal Sheet - Standardized!R37C34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7" s="3"/>
      </tp>
      <tp>
        <v>42600</v>
        <stp/>
        <stp>##V3_BDHV12</stp>
        <stp>XOM US Equity</stp>
        <stp>OTHER_NONCUR_LIABS_SUB_DETAILED</stp>
        <stp>FQ3 2004</stp>
        <stp>FQ3 2004</stp>
        <stp>[FA1_ivyerigx.xlsx]Bal Sheet - Standardized!R37C27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7" s="3"/>
      </tp>
      <tp>
        <v>38967</v>
        <stp/>
        <stp>##V3_BDHV12</stp>
        <stp>XOM US Equity</stp>
        <stp>OTHER_NONCUR_LIABS_SUB_DETAILED</stp>
        <stp>FQ3 2003</stp>
        <stp>FQ3 2003</stp>
        <stp>[FA1_ivyerigx.xlsx]Bal Sheet - Standardized!R37C23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7" s="3"/>
      </tp>
      <tp>
        <v>44520</v>
        <stp/>
        <stp>##V3_BDHV12</stp>
        <stp>XOM US Equity</stp>
        <stp>OTHER_NONCUR_LIABS_SUB_DETAILED</stp>
        <stp>FQ2 2005</stp>
        <stp>FQ2 2005</stp>
        <stp>[FA1_ivyerigx.xlsx]Bal Sheet - Standardized!R37C30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7" s="3"/>
      </tp>
      <tp>
        <v>-1706</v>
        <stp/>
        <stp>##V3_BDHV12</stp>
        <stp>XOM US Equity</stp>
        <stp>CHG_IN_FXD_&amp;_INTANG_AST_DETAILED</stp>
        <stp>FQ2 2005</stp>
        <stp>FQ2 2005</stp>
        <stp>[FA1_ivyerigx.xlsx]Cash Flow - Standardized!R18C30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8" s="4"/>
      </tp>
      <tp>
        <v>-4250</v>
        <stp/>
        <stp>##V3_BDHV12</stp>
        <stp>XOM US Equity</stp>
        <stp>CHG_IN_FXD_&amp;_INTANG_AST_DETAILED</stp>
        <stp>FQ2 2006</stp>
        <stp>FQ2 2006</stp>
        <stp>[FA1_ivyerigx.xlsx]Cash Flow - Standardized!R18C34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8" s="4"/>
      </tp>
      <tp>
        <v>-2267</v>
        <stp/>
        <stp>##V3_BDHV12</stp>
        <stp>XOM US Equity</stp>
        <stp>CHG_IN_FXD_&amp;_INTANG_AST_DETAILED</stp>
        <stp>FQ3 2004</stp>
        <stp>FQ3 2004</stp>
        <stp>[FA1_ivyerigx.xlsx]Cash Flow - Standardized!R18C27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8" s="4"/>
      </tp>
      <tp>
        <v>-2833</v>
        <stp/>
        <stp>##V3_BDHV12</stp>
        <stp>XOM US Equity</stp>
        <stp>CHG_IN_FXD_&amp;_INTANG_AST_DETAILED</stp>
        <stp>FQ3 2003</stp>
        <stp>FQ3 2003</stp>
        <stp>[FA1_ivyerigx.xlsx]Cash Flow - Standardized!R18C23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8" s="4"/>
      </tp>
      <tp>
        <v>-2651</v>
        <stp/>
        <stp>##V3_BDHV12</stp>
        <stp>XOM US Equity</stp>
        <stp>CHG_IN_FXD_&amp;_INTANG_AST_DETAILED</stp>
        <stp>FQ2 2007</stp>
        <stp>FQ2 2007</stp>
        <stp>[FA1_ivyerigx.xlsx]Cash Flow - Standardized!R18C38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8" s="4"/>
      </tp>
      <tp>
        <v>1830</v>
        <stp/>
        <stp>##V3_BDHV12</stp>
        <stp>XOM US Equity</stp>
        <stp>CF_CHNG_NON_CASH_WORK_CAP</stp>
        <stp>FQ1 2000</stp>
        <stp>FQ1 2000</stp>
        <stp>[FA1_ivyerigx.xlsx]Cash Flow - Standardized!R12C9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2" s="4"/>
      </tp>
      <tp>
        <v>76890</v>
        <stp/>
        <stp>##V3_BDHV12</stp>
        <stp>XOM US Equity</stp>
        <stp>SALES_REV_TURN</stp>
        <stp>FQ1 2007</stp>
        <stp>FQ1 2007</stp>
        <stp>[FA1_ivyerigx.xlsx]Income - Adjusted!R6C37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6" s="2"/>
      </tp>
      <tp>
        <v>2829</v>
        <stp/>
        <stp>##V3_BDHV12</stp>
        <stp>XOM US Equity</stp>
        <stp>IS_INC_BEF_XO_ITEM</stp>
        <stp>FQ4 2001</stp>
        <stp>FQ4 2001</stp>
        <stp>[FA1_ivyerigx.xlsx]Income - Adjusted!R20C16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0" s="2"/>
      </tp>
      <tp>
        <v>8582</v>
        <stp/>
        <stp>##V3_BDHV12</stp>
        <stp>XOM US Equity</stp>
        <stp>IS_INC_BEF_XO_ITEM</stp>
        <stp>FQ1 2006</stp>
        <stp>FQ1 2006</stp>
        <stp>[FA1_ivyerigx.xlsx]Income - Adjusted!R20C33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0" s="2"/>
      </tp>
      <tp>
        <v>7839</v>
        <stp/>
        <stp>##V3_BDHV12</stp>
        <stp>XOM US Equity</stp>
        <stp>IS_INC_BEF_XO_ITEM</stp>
        <stp>FQ2 2005</stp>
        <stp>FQ2 2005</stp>
        <stp>[FA1_ivyerigx.xlsx]Income - Adjusted!R20C30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0" s="2"/>
      </tp>
      <tp>
        <v>3791</v>
        <stp/>
        <stp>##V3_BDHV12</stp>
        <stp>XOM US Equity</stp>
        <stp>IS_INC_BEF_XO_ITEM</stp>
        <stp>FQ4 2002</stp>
        <stp>FQ4 2002</stp>
        <stp>[FA1_ivyerigx.xlsx]Income - Adjusted!R20C20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0" s="2"/>
      </tp>
      <tp>
        <v>5932</v>
        <stp/>
        <stp>##V3_BDHV12</stp>
        <stp>XOM US Equity</stp>
        <stp>IS_INC_BEF_XO_ITEM</stp>
        <stp>FQ2 2004</stp>
        <stp>FQ2 2004</stp>
        <stp>[FA1_ivyerigx.xlsx]Income - Adjusted!R20C26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0" s="2"/>
      </tp>
      <tp>
        <v>126</v>
        <stp/>
        <stp>##V3_BDHV12</stp>
        <stp>XOM US Equity</stp>
        <stp>IS_INT_EXPENSE</stp>
        <stp>FQ2 2000</stp>
        <stp>FQ2 2000</stp>
        <stp>[FA1_ivyerigx.xlsx]Income - Adjusted!R14C10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>
        <v>41</v>
        <stp/>
        <stp>##V3_BDHV12</stp>
        <stp>XOM US Equity</stp>
        <stp>IS_INT_EXPENSE</stp>
        <stp>FQ3 2003</stp>
        <stp>FQ3 2003</stp>
        <stp>[FA1_ivyerigx.xlsx]Income - Adjusted!R14C23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4" s="2"/>
      </tp>
      <tp>
        <v>103</v>
        <stp/>
        <stp>##V3_BDHV12</stp>
        <stp>XOM US Equity</stp>
        <stp>IS_INT_EXPENSE</stp>
        <stp>FQ1 2007</stp>
        <stp>FQ1 2007</stp>
        <stp>[FA1_ivyerigx.xlsx]Income - Adjusted!R14C37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4" s="2"/>
      </tp>
      <tp>
        <v>101</v>
        <stp/>
        <stp>##V3_BDHV12</stp>
        <stp>XOM US Equity</stp>
        <stp>IS_INT_EXPENSE</stp>
        <stp>FQ4 2006</stp>
        <stp>FQ4 2006</stp>
        <stp>[FA1_ivyerigx.xlsx]Income - Adjusted!R14C36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4" s="2"/>
      </tp>
      <tp>
        <v>184511.66</v>
        <stp/>
        <stp>##V3_BDHV12</stp>
        <stp>XOM US Equity</stp>
        <stp>HISTORICAL_MARKET_CAP</stp>
        <stp>FQ3 1999</stp>
        <stp>FQ3 1999</stp>
        <stp>[FA1_ivyerigx.xlsx]Stock Value!R12C7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2" s="6"/>
      </tp>
      <tp>
        <v>187259.5</v>
        <stp/>
        <stp>##V3_BDHV12</stp>
        <stp>XOM US Equity</stp>
        <stp>HISTORICAL_MARKET_CAP</stp>
        <stp>FQ2 1999</stp>
        <stp>FQ2 1999</stp>
        <stp>[FA1_ivyerigx.xlsx]Stock Value!R12C6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2" s="6"/>
      </tp>
      <tp>
        <v>171310.6085</v>
        <stp/>
        <stp>##V3_BDHV12</stp>
        <stp>XOM US Equity</stp>
        <stp>HISTORICAL_MARKET_CAP</stp>
        <stp>FQ1 1999</stp>
        <stp>FQ1 1999</stp>
        <stp>[FA1_ivyerigx.xlsx]Stock Value!R12C5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2" s="6"/>
      </tp>
      <tp>
        <v>280115.8125</v>
        <stp/>
        <stp>##V3_BDHV12</stp>
        <stp>XOM US Equity</stp>
        <stp>HISTORICAL_MARKET_CAP</stp>
        <stp>FQ4 1999</stp>
        <stp>FQ4 1999</stp>
        <stp>[FA1_ivyerigx.xlsx]Stock Value!R12C8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2" s="6"/>
      </tp>
      <tp>
        <v>55242</v>
        <stp/>
        <stp>##V3_BDHV12</stp>
        <stp>XOM US Equity</stp>
        <stp>OTHER_NONCUR_LIABS_SUB_DETAILED</stp>
        <stp>FQ3 2007</stp>
        <stp>FQ3 2007</stp>
        <stp>[FA1_ivyerigx.xlsx]Bal Sheet - Standardized!R37C39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7" s="3"/>
      </tp>
      <tp>
        <v>46086</v>
        <stp/>
        <stp>##V3_BDHV12</stp>
        <stp>XOM US Equity</stp>
        <stp>OTHER_NONCUR_LIABS_SUB_DETAILED</stp>
        <stp>FQ3 2006</stp>
        <stp>FQ3 2006</stp>
        <stp>[FA1_ivyerigx.xlsx]Bal Sheet - Standardized!R37C35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7" s="3"/>
      </tp>
      <tp>
        <v>41122</v>
        <stp/>
        <stp>##V3_BDHV12</stp>
        <stp>XOM US Equity</stp>
        <stp>OTHER_NONCUR_LIABS_SUB_DETAILED</stp>
        <stp>FQ2 2004</stp>
        <stp>FQ2 2004</stp>
        <stp>[FA1_ivyerigx.xlsx]Bal Sheet - Standardized!R37C26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7" s="3"/>
      </tp>
      <tp>
        <v>40063</v>
        <stp/>
        <stp>##V3_BDHV12</stp>
        <stp>XOM US Equity</stp>
        <stp>OTHER_NONCUR_LIABS_SUB_DETAILED</stp>
        <stp>FQ2 2003</stp>
        <stp>FQ2 2003</stp>
        <stp>[FA1_ivyerigx.xlsx]Bal Sheet - Standardized!R37C22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7" s="3"/>
      </tp>
      <tp>
        <v>32266</v>
        <stp/>
        <stp>##V3_BDHV12</stp>
        <stp>XOM US Equity</stp>
        <stp>OTHER_NONCUR_LIABS_SUB_DETAILED</stp>
        <stp>FQ1 2001</stp>
        <stp>FQ1 2001</stp>
        <stp>[FA1_ivyerigx.xlsx]Bal Sheet - Standardized!R37C13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7" s="3"/>
      </tp>
      <tp>
        <v>50543</v>
        <stp/>
        <stp>##V3_BDHV12</stp>
        <stp>XOM US Equity</stp>
        <stp>OTHER_NONCUR_LIABS_SUB_DETAILED</stp>
        <stp>FQ4 2007</stp>
        <stp>FQ4 2007</stp>
        <stp>[FA1_ivyerigx.xlsx]Bal Sheet - Standardized!R37C40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7" s="3"/>
      </tp>
      <tp>
        <v>32374</v>
        <stp/>
        <stp>##V3_BDHV12</stp>
        <stp>XOM US Equity</stp>
        <stp>OTHER_NONCUR_LIABS_SUB_DETAILED</stp>
        <stp>FQ1 2002</stp>
        <stp>FQ1 2002</stp>
        <stp>[FA1_ivyerigx.xlsx]Bal Sheet - Standardized!R37C17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7" s="3"/>
      </tp>
      <tp>
        <v>44830</v>
        <stp/>
        <stp>##V3_BDHV12</stp>
        <stp>XOM US Equity</stp>
        <stp>OTHER_NONCUR_LIABS_SUB_DETAILED</stp>
        <stp>FQ3 2005</stp>
        <stp>FQ3 2005</stp>
        <stp>[FA1_ivyerigx.xlsx]Bal Sheet - Standardized!R37C31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7" s="3"/>
      </tp>
      <tp>
        <v>-3336</v>
        <stp/>
        <stp>##V3_BDHV12</stp>
        <stp>XOM US Equity</stp>
        <stp>CHG_IN_FXD_&amp;_INTANG_AST_DETAILED</stp>
        <stp>FQ1 2006</stp>
        <stp>FQ1 2006</stp>
        <stp>[FA1_ivyerigx.xlsx]Cash Flow - Standardized!R18C33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8" s="4"/>
      </tp>
      <tp>
        <v>-2350</v>
        <stp/>
        <stp>##V3_BDHV12</stp>
        <stp>XOM US Equity</stp>
        <stp>CHG_IN_FXD_&amp;_INTANG_AST_DETAILED</stp>
        <stp>FQ3 2001</stp>
        <stp>FQ3 2001</stp>
        <stp>[FA1_ivyerigx.xlsx]Cash Flow - Standardized!R18C15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8" s="4"/>
      </tp>
      <tp>
        <v>-2568</v>
        <stp/>
        <stp>##V3_BDHV12</stp>
        <stp>XOM US Equity</stp>
        <stp>CHG_IN_FXD_&amp;_INTANG_AST_DETAILED</stp>
        <stp>FQ1 2007</stp>
        <stp>FQ1 2007</stp>
        <stp>[FA1_ivyerigx.xlsx]Cash Flow - Standardized!R18C37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8" s="4"/>
      </tp>
      <tp>
        <v>-1530</v>
        <stp/>
        <stp>##V3_BDHV12</stp>
        <stp>XOM US Equity</stp>
        <stp>CHG_IN_FXD_&amp;_INTANG_AST_DETAILED</stp>
        <stp>FQ3 2000</stp>
        <stp>FQ3 2000</stp>
        <stp>[FA1_ivyerigx.xlsx]Cash Flow - Standardized!R18C11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8" s="4"/>
      </tp>
      <tp>
        <v>-2703</v>
        <stp/>
        <stp>##V3_BDHV12</stp>
        <stp>XOM US Equity</stp>
        <stp>CHG_IN_FXD_&amp;_INTANG_AST_DETAILED</stp>
        <stp>FQ3 2002</stp>
        <stp>FQ3 2002</stp>
        <stp>[FA1_ivyerigx.xlsx]Cash Flow - Standardized!R18C19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8" s="4"/>
      </tp>
      <tp>
        <v>0.25319999999999998</v>
        <stp/>
        <stp>##V3_BDHV12</stp>
        <stp>XOM US Equity</stp>
        <stp>CASH_ST_INVESTMENTS_PER_SH</stp>
        <stp>FQ4 1999</stp>
        <stp>FQ4 1999</stp>
        <stp>[FA1_ivyerigx.xlsx]Per Share!R25C8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5" s="5"/>
      </tp>
      <tp>
        <v>2999</v>
        <stp/>
        <stp>##V3_BDHV12</stp>
        <stp>XOM US Equity</stp>
        <stp>EBITDA</stp>
        <stp>FQ3 1998</stp>
        <stp>FQ3 1998</stp>
        <stp>[FA1_ivyerigx.xlsx]Income - Adjusted!R45C3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45" s="2"/>
      </tp>
      <tp t="s">
        <v>—</v>
        <stp/>
        <stp>##V3_BDHV12</stp>
        <stp>XOM US Equity</stp>
        <stp>EBITDA</stp>
        <stp>FQ4 1998</stp>
        <stp>FQ4 1998</stp>
        <stp>[FA1_ivyerigx.xlsx]Income - Adjusted!R45C4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45" s="2"/>
      </tp>
      <tp>
        <v>52178</v>
        <stp/>
        <stp>##V3_BDHV12</stp>
        <stp>XOM US Equity</stp>
        <stp>SALES_REV_TURN</stp>
        <stp>FQ3 2000</stp>
        <stp>FQ3 2000</stp>
        <stp>[FA1_ivyerigx.xlsx]Income - Adjusted!R6C11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2"/>
      </tp>
      <tp>
        <v>49479</v>
        <stp/>
        <stp>##V3_BDHV12</stp>
        <stp>XOM US Equity</stp>
        <stp>SALES_REV_TURN</stp>
        <stp>FQ2 2000</stp>
        <stp>FQ2 2000</stp>
        <stp>[FA1_ivyerigx.xlsx]Income - Adjusted!R6C10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2"/>
      </tp>
      <tp>
        <v>9694</v>
        <stp/>
        <stp>##V3_BDHV12</stp>
        <stp>XOM US Equity</stp>
        <stp>IS_INC_BEF_XO_ITEM</stp>
        <stp>FQ3 2007</stp>
        <stp>FQ3 2007</stp>
        <stp>[FA1_ivyerigx.xlsx]Income - Adjusted!R20C39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0" s="2"/>
      </tp>
      <tp>
        <v>11943</v>
        <stp/>
        <stp>##V3_BDHV12</stp>
        <stp>XOM US Equity</stp>
        <stp>IS_INC_BEF_XO_ITEM</stp>
        <stp>FQ4 2007</stp>
        <stp>FQ4 2007</stp>
        <stp>[FA1_ivyerigx.xlsx]Income - Adjusted!R20C40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0" s="2"/>
      </tp>
      <tp>
        <v>10613</v>
        <stp/>
        <stp>##V3_BDHV12</stp>
        <stp>XOM US Equity</stp>
        <stp>IS_INC_BEF_XO_ITEM</stp>
        <stp>FQ2 2006</stp>
        <stp>FQ2 2006</stp>
        <stp>[FA1_ivyerigx.xlsx]Income - Adjusted!R20C34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0" s="2"/>
      </tp>
      <tp>
        <v>5594</v>
        <stp/>
        <stp>##V3_BDHV12</stp>
        <stp>XOM US Equity</stp>
        <stp>IS_INC_BEF_XO_ITEM</stp>
        <stp>FQ1 2004</stp>
        <stp>FQ1 2004</stp>
        <stp>[FA1_ivyerigx.xlsx]Income - Adjusted!R20C25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0" s="2"/>
      </tp>
      <tp>
        <v>49.25</v>
        <stp/>
        <stp>##V3_BDHV12</stp>
        <stp>XOM US Equity</stp>
        <stp>PX_LOW</stp>
        <stp>FQ1 2005</stp>
        <stp>FQ1 2005</stp>
        <stp>[FA1_ivyerigx.xlsx]Stock Value!R10C29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0" s="6"/>
      </tp>
      <tp>
        <v>4.4382999999999999</v>
        <stp/>
        <stp>##V3_BDHV12</stp>
        <stp>XOM US Equity</stp>
        <stp>PROF_MARGIN</stp>
        <stp>FQ1 1999</stp>
        <stp>FQ1 1999</stp>
        <stp>[FA1_ivyerigx.xlsx]Income - Adjusted!R51C5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1" s="2"/>
      </tp>
      <tp>
        <v>5.1696999999999997</v>
        <stp/>
        <stp>##V3_BDHV12</stp>
        <stp>XOM US Equity</stp>
        <stp>PROF_MARGIN</stp>
        <stp>FQ3 1999</stp>
        <stp>FQ3 1999</stp>
        <stp>[FA1_ivyerigx.xlsx]Income - Adjusted!R51C7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1" s="2"/>
      </tp>
      <tp>
        <v>4.7637999999999998</v>
        <stp/>
        <stp>##V3_BDHV12</stp>
        <stp>XOM US Equity</stp>
        <stp>PROF_MARGIN</stp>
        <stp>FQ2 1999</stp>
        <stp>FQ2 1999</stp>
        <stp>[FA1_ivyerigx.xlsx]Income - Adjusted!R51C6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1" s="2"/>
      </tp>
      <tp>
        <v>5.0065</v>
        <stp/>
        <stp>##V3_BDHV12</stp>
        <stp>XOM US Equity</stp>
        <stp>PROF_MARGIN</stp>
        <stp>FQ4 1999</stp>
        <stp>FQ4 1999</stp>
        <stp>[FA1_ivyerigx.xlsx]Income - Adjusted!R51C8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1" s="2"/>
      </tp>
      <tp>
        <v>459</v>
        <stp/>
        <stp>##V3_BDHV12</stp>
        <stp>XOM US Equity</stp>
        <stp>IS_INT_EXPENSE</stp>
        <stp>FQ3 2004</stp>
        <stp>FQ3 2004</stp>
        <stp>[FA1_ivyerigx.xlsx]Income - Adjusted!R14C27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4" s="2"/>
      </tp>
      <tp>
        <v>281</v>
        <stp/>
        <stp>##V3_BDHV12</stp>
        <stp>XOM US Equity</stp>
        <stp>IS_INT_EXPENSE</stp>
        <stp>FQ3 2006</stp>
        <stp>FQ3 2006</stp>
        <stp>[FA1_ivyerigx.xlsx]Income - Adjusted!R14C35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4" s="2"/>
      </tp>
      <tp>
        <v>32380</v>
        <stp/>
        <stp>##V3_BDHV12</stp>
        <stp>XOM US Equity</stp>
        <stp>BS_CUR_ASSET_REPORT</stp>
        <stp>FQ1 2000</stp>
        <stp>FQ1 2000</stp>
        <stp>[FA1_ivyerigx.xlsx]Bal Sheet - Standardized!R18C9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8" s="3"/>
      </tp>
      <tp>
        <v>34265</v>
        <stp/>
        <stp>##V3_BDHV12</stp>
        <stp>XOM US Equity</stp>
        <stp>OTHER_NONCUR_LIABS_SUB_DETAILED</stp>
        <stp>FQ2 2002</stp>
        <stp>FQ2 2002</stp>
        <stp>[FA1_ivyerigx.xlsx]Bal Sheet - Standardized!R37C18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7" s="3"/>
      </tp>
      <tp>
        <v>0.21</v>
        <stp/>
        <stp>##V3_BDHV12</stp>
        <stp>XOM US Equity</stp>
        <stp>IS_DIL_EPS_BEF_XO</stp>
        <stp>FQ1 1999</stp>
        <stp>FQ1 1999</stp>
        <stp>[FA1_ivyerigx.xlsx]Income - Adjusted!R40C5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0" s="2"/>
      </tp>
      <tp>
        <v>0.30499999999999999</v>
        <stp/>
        <stp>##V3_BDHV12</stp>
        <stp>XOM US Equity</stp>
        <stp>IS_DIL_EPS_BEF_XO</stp>
        <stp>FQ3 1999</stp>
        <stp>FQ3 1999</stp>
        <stp>[FA1_ivyerigx.xlsx]Income - Adjusted!R40C7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0" s="2"/>
      </tp>
      <tp>
        <v>0.245</v>
        <stp/>
        <stp>##V3_BDHV12</stp>
        <stp>XOM US Equity</stp>
        <stp>IS_DIL_EPS_BEF_XO</stp>
        <stp>FQ2 1999</stp>
        <stp>FQ2 1999</stp>
        <stp>[FA1_ivyerigx.xlsx]Income - Adjusted!R40C6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0" s="2"/>
      </tp>
      <tp>
        <v>44782</v>
        <stp/>
        <stp>##V3_BDHV12</stp>
        <stp>XOM US Equity</stp>
        <stp>OTHER_NONCUR_LIABS_SUB_DETAILED</stp>
        <stp>FQ1 2005</stp>
        <stp>FQ1 2005</stp>
        <stp>[FA1_ivyerigx.xlsx]Bal Sheet - Standardized!R37C29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7" s="3"/>
      </tp>
      <tp t="s">
        <v>—</v>
        <stp/>
        <stp>##V3_BDHV12</stp>
        <stp>XOM US Equity</stp>
        <stp>BS_ACCTS_REC_EXCL_NOTES_REC</stp>
        <stp>FQ4 1999</stp>
        <stp>FQ4 1999</stp>
        <stp>[FA1_ivyerigx.xlsx]Bal Sheet - Standardized!R11C8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1" s="3"/>
      </tp>
      <tp>
        <v>41431</v>
        <stp/>
        <stp>##V3_BDHV12</stp>
        <stp>XOM US Equity</stp>
        <stp>OTHER_NONCUR_LIABS_SUB_DETAILED</stp>
        <stp>FQ1 2004</stp>
        <stp>FQ1 2004</stp>
        <stp>[FA1_ivyerigx.xlsx]Bal Sheet - Standardized!R37C25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7" s="3"/>
      </tp>
      <tp>
        <v>33081</v>
        <stp/>
        <stp>##V3_BDHV12</stp>
        <stp>XOM US Equity</stp>
        <stp>OTHER_NONCUR_LIABS_SUB_DETAILED</stp>
        <stp>FQ2 2000</stp>
        <stp>FQ2 2000</stp>
        <stp>[FA1_ivyerigx.xlsx]Bal Sheet - Standardized!R37C10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7" s="3"/>
      </tp>
      <tp>
        <v>38769</v>
        <stp/>
        <stp>##V3_BDHV12</stp>
        <stp>XOM US Equity</stp>
        <stp>OTHER_NONCUR_LIABS_SUB_DETAILED</stp>
        <stp>FQ1 2003</stp>
        <stp>FQ1 2003</stp>
        <stp>[FA1_ivyerigx.xlsx]Bal Sheet - Standardized!R37C21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7" s="3"/>
      </tp>
      <tp t="s">
        <v>—</v>
        <stp/>
        <stp>##V3_BDHV12</stp>
        <stp>XOM US Equity</stp>
        <stp>BS_ACCTS_REC_EXCL_NOTES_REC</stp>
        <stp>FQ3 1998</stp>
        <stp>FQ3 1998</stp>
        <stp>[FA1_ivyerigx.xlsx]Bal Sheet - Standardized!R11C3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1" s="3"/>
      </tp>
      <tp t="s">
        <v>—</v>
        <stp/>
        <stp>##V3_BDHV12</stp>
        <stp>XOM US Equity</stp>
        <stp>BS_ACCTS_REC_EXCL_NOTES_REC</stp>
        <stp>FQ4 1998</stp>
        <stp>FQ4 1998</stp>
        <stp>[FA1_ivyerigx.xlsx]Bal Sheet - Standardized!R11C4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1" s="3"/>
      </tp>
      <tp>
        <v>31783</v>
        <stp/>
        <stp>##V3_BDHV12</stp>
        <stp>XOM US Equity</stp>
        <stp>OTHER_NONCUR_LIABS_SUB_DETAILED</stp>
        <stp>FQ2 2001</stp>
        <stp>FQ2 2001</stp>
        <stp>[FA1_ivyerigx.xlsx]Bal Sheet - Standardized!R37C14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7" s="3"/>
      </tp>
      <tp t="s">
        <v>—</v>
        <stp/>
        <stp>##V3_BDHV12</stp>
        <stp>XOM US Equity</stp>
        <stp>BS_ACCTS_REC_EXCL_NOTES_REC</stp>
        <stp>FQ2 1999</stp>
        <stp>FQ2 1999</stp>
        <stp>[FA1_ivyerigx.xlsx]Bal Sheet - Standardized!R11C6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1" s="3"/>
      </tp>
      <tp t="s">
        <v>—</v>
        <stp/>
        <stp>##V3_BDHV12</stp>
        <stp>XOM US Equity</stp>
        <stp>BS_ACCTS_REC_EXCL_NOTES_REC</stp>
        <stp>FQ3 1999</stp>
        <stp>FQ3 1999</stp>
        <stp>[FA1_ivyerigx.xlsx]Bal Sheet - Standardized!R11C7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1" s="3"/>
      </tp>
      <tp t="s">
        <v>—</v>
        <stp/>
        <stp>##V3_BDHV12</stp>
        <stp>XOM US Equity</stp>
        <stp>BS_ACCTS_REC_EXCL_NOTES_REC</stp>
        <stp>FQ1 1999</stp>
        <stp>FQ1 1999</stp>
        <stp>[FA1_ivyerigx.xlsx]Bal Sheet - Standardized!R11C5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1" s="3"/>
      </tp>
      <tp>
        <v>-1884</v>
        <stp/>
        <stp>##V3_BDHV12</stp>
        <stp>XOM US Equity</stp>
        <stp>CHG_IN_FXD_&amp;_INTANG_AST_DETAILED</stp>
        <stp>FQ2 2001</stp>
        <stp>FQ2 2001</stp>
        <stp>[FA1_ivyerigx.xlsx]Cash Flow - Standardized!R18C14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8" s="4"/>
      </tp>
      <tp>
        <v>498</v>
        <stp/>
        <stp>##V3_BDHV12</stp>
        <stp>XOM US Equity</stp>
        <stp>IS_INT_EXPENSE</stp>
        <stp>FQ4 1999</stp>
        <stp>FQ4 1999</stp>
        <stp>[FA1_ivyerigx.xlsx]Income - Adjusted!R14C8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>
        <v>-2356</v>
        <stp/>
        <stp>##V3_BDHV12</stp>
        <stp>XOM US Equity</stp>
        <stp>CHG_IN_FXD_&amp;_INTANG_AST_DETAILED</stp>
        <stp>FQ1 2004</stp>
        <stp>FQ1 2004</stp>
        <stp>[FA1_ivyerigx.xlsx]Cash Flow - Standardized!R18C25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8" s="4"/>
      </tp>
      <tp>
        <v>-1605</v>
        <stp/>
        <stp>##V3_BDHV12</stp>
        <stp>XOM US Equity</stp>
        <stp>CHG_IN_FXD_&amp;_INTANG_AST_DETAILED</stp>
        <stp>FQ1 2003</stp>
        <stp>FQ1 2003</stp>
        <stp>[FA1_ivyerigx.xlsx]Cash Flow - Standardized!R18C21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8" s="4"/>
      </tp>
      <tp>
        <v>-805</v>
        <stp/>
        <stp>##V3_BDHV12</stp>
        <stp>XOM US Equity</stp>
        <stp>CHG_IN_FXD_&amp;_INTANG_AST_DETAILED</stp>
        <stp>FQ2 2000</stp>
        <stp>FQ2 2000</stp>
        <stp>[FA1_ivyerigx.xlsx]Cash Flow - Standardized!R18C10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8" s="4"/>
      </tp>
      <tp>
        <v>-916</v>
        <stp/>
        <stp>##V3_BDHV12</stp>
        <stp>XOM US Equity</stp>
        <stp>CHG_IN_FXD_&amp;_INTANG_AST_DETAILED</stp>
        <stp>FQ1 2005</stp>
        <stp>FQ1 2005</stp>
        <stp>[FA1_ivyerigx.xlsx]Cash Flow - Standardized!R18C29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8" s="4"/>
      </tp>
      <tp>
        <v>-2727</v>
        <stp/>
        <stp>##V3_BDHV12</stp>
        <stp>XOM US Equity</stp>
        <stp>CHG_IN_FXD_&amp;_INTANG_AST_DETAILED</stp>
        <stp>FQ2 2002</stp>
        <stp>FQ2 2002</stp>
        <stp>[FA1_ivyerigx.xlsx]Cash Flow - Standardized!R18C18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8" s="4"/>
      </tp>
      <tp>
        <v>103301</v>
        <stp/>
        <stp>##V3_BDHV12</stp>
        <stp>XOM US Equity</stp>
        <stp>SALES_REV_TURN</stp>
        <stp>FQ4 2007</stp>
        <stp>FQ4 2007</stp>
        <stp>[FA1_ivyerigx.xlsx]Income - Adjusted!R6C40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6" s="2"/>
      </tp>
      <tp>
        <v>88298</v>
        <stp/>
        <stp>##V3_BDHV12</stp>
        <stp>XOM US Equity</stp>
        <stp>SALES_REV_TURN</stp>
        <stp>FQ4 2005</stp>
        <stp>FQ4 2005</stp>
        <stp>[FA1_ivyerigx.xlsx]Income - Adjusted!R6C32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6" s="2"/>
      </tp>
      <tp>
        <v>55711</v>
        <stp/>
        <stp>##V3_BDHV12</stp>
        <stp>XOM US Equity</stp>
        <stp>SALES_REV_TURN</stp>
        <stp>FQ4 2003</stp>
        <stp>FQ4 2003</stp>
        <stp>[FA1_ivyerigx.xlsx]Income - Adjusted!R6C24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6" s="2"/>
      </tp>
      <tp>
        <v>50271</v>
        <stp/>
        <stp>##V3_BDHV12</stp>
        <stp>XOM US Equity</stp>
        <stp>SALES_REV_TURN</stp>
        <stp>FQ2 2003</stp>
        <stp>FQ2 2003</stp>
        <stp>[FA1_ivyerigx.xlsx]Income - Adjusted!R6C22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6" s="2"/>
      </tp>
      <tp>
        <v>52860</v>
        <stp/>
        <stp>##V3_BDHV12</stp>
        <stp>XOM US Equity</stp>
        <stp>SALES_REV_TURN</stp>
        <stp>FQ3 2003</stp>
        <stp>FQ3 2003</stp>
        <stp>[FA1_ivyerigx.xlsx]Income - Adjusted!R6C23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6" s="2"/>
      </tp>
      <tp>
        <v>54357</v>
        <stp/>
        <stp>##V3_BDHV12</stp>
        <stp>XOM US Equity</stp>
        <stp>SALES_REV_TURN</stp>
        <stp>FQ1 2003</stp>
        <stp>FQ1 2003</stp>
        <stp>[FA1_ivyerigx.xlsx]Income - Adjusted!R6C21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6" s="2"/>
      </tp>
      <tp>
        <v>41037</v>
        <stp/>
        <stp>##V3_BDHV12</stp>
        <stp>XOM US Equity</stp>
        <stp>SALES_REV_TURN</stp>
        <stp>FQ4 2001</stp>
        <stp>FQ4 2001</stp>
        <stp>[FA1_ivyerigx.xlsx]Income - Adjusted!R6C16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6" s="2"/>
      </tp>
      <tp>
        <v>50782</v>
        <stp/>
        <stp>##V3_BDHV12</stp>
        <stp>XOM US Equity</stp>
        <stp>SALES_REV_TURN</stp>
        <stp>FQ1 2001</stp>
        <stp>FQ1 2001</stp>
        <stp>[FA1_ivyerigx.xlsx]Income - Adjusted!R6C13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6" s="2"/>
      </tp>
      <tp>
        <v>10448</v>
        <stp/>
        <stp>##V3_BDHV12</stp>
        <stp>XOM US Equity</stp>
        <stp>IS_INC_BEF_XO_ITEM</stp>
        <stp>FQ2 2007</stp>
        <stp>FQ2 2007</stp>
        <stp>[FA1_ivyerigx.xlsx]Income - Adjusted!R20C38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0" s="2"/>
      </tp>
      <tp>
        <v>7955</v>
        <stp/>
        <stp>##V3_BDHV12</stp>
        <stp>XOM US Equity</stp>
        <stp>IS_INC_BEF_XO_ITEM</stp>
        <stp>FQ1 2005</stp>
        <stp>FQ1 2005</stp>
        <stp>[FA1_ivyerigx.xlsx]Income - Adjusted!R20C29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0" s="2"/>
      </tp>
      <tp>
        <v>0.18859999999999999</v>
        <stp/>
        <stp>##V3_BDHV12</stp>
        <stp>XOM US Equity</stp>
        <stp>FREE_CASH_FLOW_PER_SH</stp>
        <stp>FQ1 1999</stp>
        <stp>FQ1 1999</stp>
        <stp>[FA1_ivyerigx.xlsx]Per Share!R23C5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3" s="5"/>
      </tp>
      <tp>
        <v>8.6E-3</v>
        <stp/>
        <stp>##V3_BDHV12</stp>
        <stp>XOM US Equity</stp>
        <stp>FREE_CASH_FLOW_PER_SH</stp>
        <stp>FQ2 1999</stp>
        <stp>FQ2 1999</stp>
        <stp>[FA1_ivyerigx.xlsx]Per Share!R23C6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3" s="5"/>
      </tp>
      <tp>
        <v>0.23150000000000001</v>
        <stp/>
        <stp>##V3_BDHV12</stp>
        <stp>XOM US Equity</stp>
        <stp>FREE_CASH_FLOW_PER_SH</stp>
        <stp>FQ3 1999</stp>
        <stp>FQ3 1999</stp>
        <stp>[FA1_ivyerigx.xlsx]Per Share!R23C7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3" s="5"/>
      </tp>
      <tp>
        <v>10782</v>
        <stp/>
        <stp>##V3_BDHV12</stp>
        <stp>XOM US Equity</stp>
        <stp>IS_INC_BEF_XO_ITEM</stp>
        <stp>FQ3 2006</stp>
        <stp>FQ3 2006</stp>
        <stp>[FA1_ivyerigx.xlsx]Income - Adjusted!R20C35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0" s="2"/>
      </tp>
      <tp>
        <v>25363</v>
        <stp/>
        <stp>##V3_BDHV12</stp>
        <stp>XOM US Equity</stp>
        <stp>IS_OPERATING_EXPN</stp>
        <stp>FQ4 1999</stp>
        <stp>FQ4 1999</stp>
        <stp>[FA1_ivyerigx.xlsx]Income - Adjusted!R10C8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0" s="2"/>
      </tp>
      <tp>
        <v>0</v>
        <stp/>
        <stp>##V3_BDHV12</stp>
        <stp>XOM US Equity</stp>
        <stp>INVTRY_IN_PROGRESS</stp>
        <stp>FQ4 1998</stp>
        <stp>FQ4 1998</stp>
        <stp>[FA1_ivyerigx.xlsx]Bal Sheet - Standardized!R14C4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4" s="3"/>
      </tp>
      <tp t="s">
        <v>—</v>
        <stp/>
        <stp>##V3_BDHV12</stp>
        <stp>XOM US Equity</stp>
        <stp>INVTRY_IN_PROGRESS</stp>
        <stp>FQ3 1998</stp>
        <stp>FQ3 1998</stp>
        <stp>[FA1_ivyerigx.xlsx]Bal Sheet - Standardized!R14C3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0</v>
        <stp/>
        <stp>##V3_BDHV12</stp>
        <stp>XOM US Equity</stp>
        <stp>INVTRY_IN_PROGRESS</stp>
        <stp>FQ2 1999</stp>
        <stp>FQ2 1999</stp>
        <stp>[FA1_ivyerigx.xlsx]Bal Sheet - Standardized!R14C6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0</v>
        <stp/>
        <stp>##V3_BDHV12</stp>
        <stp>XOM US Equity</stp>
        <stp>INVTRY_IN_PROGRESS</stp>
        <stp>FQ3 1999</stp>
        <stp>FQ3 1999</stp>
        <stp>[FA1_ivyerigx.xlsx]Bal Sheet - Standardized!R14C7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4" s="3"/>
      </tp>
      <tp t="s">
        <v>—</v>
        <stp/>
        <stp>##V3_BDHV12</stp>
        <stp>XOM US Equity</stp>
        <stp>INVTRY_IN_PROGRESS</stp>
        <stp>FQ1 1999</stp>
        <stp>FQ1 1999</stp>
        <stp>[FA1_ivyerigx.xlsx]Bal Sheet - Standardized!R14C5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5.6318000000000001</v>
        <stp/>
        <stp>##V3_BDHV12</stp>
        <stp>XOM US Equity</stp>
        <stp>PROF_MARGIN</stp>
        <stp>FQ3 1998</stp>
        <stp>FQ3 1998</stp>
        <stp>[FA1_ivyerigx.xlsx]Income - Adjusted!R51C3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1" s="2"/>
      </tp>
      <tp>
        <v>4.9457000000000004</v>
        <stp/>
        <stp>##V3_BDHV12</stp>
        <stp>XOM US Equity</stp>
        <stp>PROF_MARGIN</stp>
        <stp>FQ4 1998</stp>
        <stp>FQ4 1998</stp>
        <stp>[FA1_ivyerigx.xlsx]Income - Adjusted!R51C4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1" s="2"/>
      </tp>
      <tp>
        <v>5898</v>
        <stp/>
        <stp>##V3_BDHV12</stp>
        <stp>XOM US Equity</stp>
        <stp>INVTRY_IN_PROGRESS</stp>
        <stp>FQ4 1999</stp>
        <stp>FQ4 1999</stp>
        <stp>[FA1_ivyerigx.xlsx]Bal Sheet - Standardized!R14C8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50</v>
        <stp/>
        <stp>##V3_BDHV12</stp>
        <stp>XOM US Equity</stp>
        <stp>IS_INT_EXPENSE</stp>
        <stp>FQ2 2004</stp>
        <stp>FQ2 2004</stp>
        <stp>[FA1_ivyerigx.xlsx]Income - Adjusted!R14C26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4" s="2"/>
      </tp>
      <tp>
        <v>107</v>
        <stp/>
        <stp>##V3_BDHV12</stp>
        <stp>XOM US Equity</stp>
        <stp>IS_INT_EXPENSE</stp>
        <stp>FQ2 2006</stp>
        <stp>FQ2 2006</stp>
        <stp>[FA1_ivyerigx.xlsx]Income - Adjusted!R14C34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4" s="2"/>
      </tp>
      <tp>
        <v>42</v>
        <stp/>
        <stp>##V3_BDHV12</stp>
        <stp>XOM US Equity</stp>
        <stp>IS_INT_EXPENSE</stp>
        <stp>FQ1 2003</stp>
        <stp>FQ1 2003</stp>
        <stp>[FA1_ivyerigx.xlsx]Income - Adjusted!R14C21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4" s="2"/>
      </tp>
      <tp>
        <v>77</v>
        <stp/>
        <stp>##V3_BDHV12</stp>
        <stp>XOM US Equity</stp>
        <stp>IS_INT_EXPENSE</stp>
        <stp>FQ1 2001</stp>
        <stp>FQ1 2001</stp>
        <stp>[FA1_ivyerigx.xlsx]Income - Adjusted!R14C13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4" s="2"/>
      </tp>
      <tp>
        <v>208</v>
        <stp/>
        <stp>##V3_BDHV12</stp>
        <stp>XOM US Equity</stp>
        <stp>IS_INT_EXPENSE</stp>
        <stp>FQ4 2002</stp>
        <stp>FQ4 2002</stp>
        <stp>[FA1_ivyerigx.xlsx]Income - Adjusted!R14C20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4" s="2"/>
      </tp>
      <tp>
        <v>181</v>
        <stp/>
        <stp>##V3_BDHV12</stp>
        <stp>XOM US Equity</stp>
        <stp>IS_INT_EXPENSE</stp>
        <stp>FQ4 2000</stp>
        <stp>FQ4 2000</stp>
        <stp>[FA1_ivyerigx.xlsx]Income - Adjusted!R14C12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4" s="2"/>
      </tp>
      <tp>
        <v>0</v>
        <stp/>
        <stp>##V3_BDHV12</stp>
        <stp>XOM US Equity</stp>
        <stp>OTHER_NONCURRENT_ASSETS_DETAILED</stp>
        <stp>FQ1 2000</stp>
        <stp>FQ1 2000</stp>
        <stp>[FA1_ivyerigx.xlsx]Bal Sheet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3"/>
      </tp>
      <tp t="s">
        <v>—</v>
        <stp/>
        <stp>##V3_BDHV12</stp>
        <stp>XOM US Equity</stp>
        <stp>TANG_BOOK_VAL_PER_SH</stp>
        <stp>FQ3 1998</stp>
        <stp>FQ3 1998</stp>
        <stp>[FA1_ivyerigx.xlsx]Per Share!R27C3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7" s="5"/>
      </tp>
      <tp t="s">
        <v>—</v>
        <stp/>
        <stp>##V3_BDHV12</stp>
        <stp>XOM US Equity</stp>
        <stp>TANG_BOOK_VAL_PER_SH</stp>
        <stp>FQ4 1998</stp>
        <stp>FQ4 1998</stp>
        <stp>[FA1_ivyerigx.xlsx]Per Share!R27C4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7" s="5"/>
      </tp>
      <tp>
        <v>34614</v>
        <stp/>
        <stp>##V3_BDHV12</stp>
        <stp>XOM US Equity</stp>
        <stp>OTHER_NONCUR_LIABS_SUB_DETAILED</stp>
        <stp>FQ3 2002</stp>
        <stp>FQ3 2002</stp>
        <stp>[FA1_ivyerigx.xlsx]Bal Sheet - Standardized!R37C19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7" s="3"/>
      </tp>
      <tp>
        <v>51841</v>
        <stp/>
        <stp>##V3_BDHV12</stp>
        <stp>XOM US Equity</stp>
        <stp>OTHER_NONCUR_LIABS_SUB_DETAILED</stp>
        <stp>FQ1 2007</stp>
        <stp>FQ1 2007</stp>
        <stp>[FA1_ivyerigx.xlsx]Bal Sheet - Standardized!R37C37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7" s="3"/>
      </tp>
      <tp>
        <v>32838</v>
        <stp/>
        <stp>##V3_BDHV12</stp>
        <stp>XOM US Equity</stp>
        <stp>OTHER_NONCUR_LIABS_SUB_DETAILED</stp>
        <stp>FQ3 2000</stp>
        <stp>FQ3 2000</stp>
        <stp>[FA1_ivyerigx.xlsx]Bal Sheet - Standardized!R37C11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7" s="3"/>
      </tp>
      <tp>
        <v>45850</v>
        <stp/>
        <stp>##V3_BDHV12</stp>
        <stp>XOM US Equity</stp>
        <stp>OTHER_NONCUR_LIABS_SUB_DETAILED</stp>
        <stp>FQ1 2006</stp>
        <stp>FQ1 2006</stp>
        <stp>[FA1_ivyerigx.xlsx]Bal Sheet - Standardized!R37C33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7" s="3"/>
      </tp>
      <tp>
        <v>32274</v>
        <stp/>
        <stp>##V3_BDHV12</stp>
        <stp>XOM US Equity</stp>
        <stp>OTHER_NONCUR_LIABS_SUB_DETAILED</stp>
        <stp>FQ3 2001</stp>
        <stp>FQ3 2001</stp>
        <stp>[FA1_ivyerigx.xlsx]Bal Sheet - Standardized!R37C15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7" s="3"/>
      </tp>
      <tp>
        <v>80116</v>
        <stp/>
        <stp>##V3_BDHV12</stp>
        <stp>XOM US Equity</stp>
        <stp>SALES_REV_TURN</stp>
        <stp>FQ4 2006</stp>
        <stp>FQ4 2006</stp>
        <stp>[FA1_ivyerigx.xlsx]Income - Adjusted!R6C36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6" s="2"/>
      </tp>
      <tp>
        <v>78653</v>
        <stp/>
        <stp>##V3_BDHV12</stp>
        <stp>XOM US Equity</stp>
        <stp>SALES_REV_TURN</stp>
        <stp>FQ1 2006</stp>
        <stp>FQ1 2006</stp>
        <stp>[FA1_ivyerigx.xlsx]Income - Adjusted!R6C33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6" s="2"/>
      </tp>
      <tp>
        <v>37927</v>
        <stp/>
        <stp>##V3_BDHV12</stp>
        <stp>XOM US Equity</stp>
        <stp>SALES_REV_TURN</stp>
        <stp>FQ1 2002</stp>
        <stp>FQ1 2002</stp>
        <stp>[FA1_ivyerigx.xlsx]Income - Adjusted!R6C17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6" s="2"/>
      </tp>
      <tp>
        <v>2657</v>
        <stp/>
        <stp>##V3_BDHV12</stp>
        <stp>XOM US Equity</stp>
        <stp>IS_INC_BEF_XO_ITEM</stp>
        <stp>FQ2 2002</stp>
        <stp>FQ2 2002</stp>
        <stp>[FA1_ivyerigx.xlsx]Income - Adjusted!R20C18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0" s="2"/>
      </tp>
      <tp>
        <v>5172</v>
        <stp/>
        <stp>##V3_BDHV12</stp>
        <stp>XOM US Equity</stp>
        <stp>IS_INC_BEF_XO_ITEM</stp>
        <stp>FQ1 2001</stp>
        <stp>FQ1 2001</stp>
        <stp>[FA1_ivyerigx.xlsx]Income - Adjusted!R20C13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0" s="2"/>
      </tp>
      <tp>
        <v>10574</v>
        <stp/>
        <stp>##V3_BDHV12</stp>
        <stp>XOM US Equity</stp>
        <stp>IS_INC_BEF_XO_ITEM</stp>
        <stp>FQ4 2006</stp>
        <stp>FQ4 2006</stp>
        <stp>[FA1_ivyerigx.xlsx]Income - Adjusted!R20C36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0" s="2"/>
      </tp>
      <tp t="s">
        <v>—</v>
        <stp/>
        <stp>##V3_BDHV12</stp>
        <stp>XOM US Equity</stp>
        <stp>BS_OPTIONS_OUTSTANDING</stp>
        <stp>FQ4 1999</stp>
        <stp>FQ4 1999</stp>
        <stp>[FA1_ivyerigx.xlsx]Bal Sheet - Standardized!R59C8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9" s="3"/>
      </tp>
      <tp>
        <v>70</v>
        <stp/>
        <stp>##V3_BDHV12</stp>
        <stp>XOM US Equity</stp>
        <stp>IS_INT_EXPENSE</stp>
        <stp>FQ2 2001</stp>
        <stp>FQ2 2001</stp>
        <stp>[FA1_ivyerigx.xlsx]Income - Adjusted!R14C14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4" s="2"/>
      </tp>
      <tp>
        <v>244</v>
        <stp/>
        <stp>##V3_BDHV12</stp>
        <stp>XOM US Equity</stp>
        <stp>IS_INT_EXPENSE</stp>
        <stp>FQ2 2005</stp>
        <stp>FQ2 2005</stp>
        <stp>[FA1_ivyerigx.xlsx]Income - Adjusted!R14C30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4" s="2"/>
      </tp>
      <tp>
        <v>88</v>
        <stp/>
        <stp>##V3_BDHV12</stp>
        <stp>XOM US Equity</stp>
        <stp>IS_INT_EXPENSE</stp>
        <stp>FQ1 2002</stp>
        <stp>FQ1 2002</stp>
        <stp>[FA1_ivyerigx.xlsx]Income - Adjusted!R14C17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4" s="2"/>
      </tp>
      <tp>
        <v>165</v>
        <stp/>
        <stp>##V3_BDHV12</stp>
        <stp>XOM US Equity</stp>
        <stp>IS_INT_EXPENSE</stp>
        <stp>FQ1 2006</stp>
        <stp>FQ1 2006</stp>
        <stp>[FA1_ivyerigx.xlsx]Income - Adjusted!R14C33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4" s="2"/>
      </tp>
      <tp>
        <v>13524</v>
        <stp/>
        <stp>##V3_BDHV12</stp>
        <stp>XOM US Equity</stp>
        <stp>ACCT_PAYABLE_&amp;_ACCRUALS_DETAILED</stp>
        <stp>FQ4 1999</stp>
        <stp>FQ4 1999</stp>
        <stp>[FA1_ivyerigx.xlsx]Bal Sheet - Standardized!R30C8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3"/>
      </tp>
      <tp>
        <v>7369</v>
        <stp/>
        <stp>##V3_BDHV12</stp>
        <stp>XOM US Equity</stp>
        <stp>ACCT_PAYABLE_&amp;_ACCRUALS_DETAILED</stp>
        <stp>FQ4 1998</stp>
        <stp>FQ4 1998</stp>
        <stp>[FA1_ivyerigx.xlsx]Bal Sheet - Standardized!R30C4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3"/>
      </tp>
      <tp>
        <v>14269</v>
        <stp/>
        <stp>##V3_BDHV12</stp>
        <stp>XOM US Equity</stp>
        <stp>ACCT_PAYABLE_&amp;_ACCRUALS_DETAILED</stp>
        <stp>FQ3 1998</stp>
        <stp>FQ3 1998</stp>
        <stp>[FA1_ivyerigx.xlsx]Bal Sheet - Standardized!R30C3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3"/>
      </tp>
      <tp>
        <v>15410</v>
        <stp/>
        <stp>##V3_BDHV12</stp>
        <stp>XOM US Equity</stp>
        <stp>ACCT_PAYABLE_&amp;_ACCRUALS_DETAILED</stp>
        <stp>FQ3 1999</stp>
        <stp>FQ3 1999</stp>
        <stp>[FA1_ivyerigx.xlsx]Bal Sheet - Standardized!R30C7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3"/>
      </tp>
      <tp>
        <v>13734</v>
        <stp/>
        <stp>##V3_BDHV12</stp>
        <stp>XOM US Equity</stp>
        <stp>ACCT_PAYABLE_&amp;_ACCRUALS_DETAILED</stp>
        <stp>FQ2 1999</stp>
        <stp>FQ2 1999</stp>
        <stp>[FA1_ivyerigx.xlsx]Bal Sheet - Standardized!R30C6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3"/>
      </tp>
      <tp>
        <v>13670</v>
        <stp/>
        <stp>##V3_BDHV12</stp>
        <stp>XOM US Equity</stp>
        <stp>ACCT_PAYABLE_&amp;_ACCRUALS_DETAILED</stp>
        <stp>FQ1 1999</stp>
        <stp>FQ1 1999</stp>
        <stp>[FA1_ivyerigx.xlsx]Bal Sheet - Standardized!R30C5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3"/>
      </tp>
      <tp>
        <v>56845</v>
        <stp/>
        <stp>##V3_BDHV12</stp>
        <stp>XOM US Equity</stp>
        <stp>OTHER_NONCUR_LIABS_SUB_DETAILED</stp>
        <stp>FQ1 2008</stp>
        <stp>FQ1 2008</stp>
        <stp>[FA1_ivyerigx.xlsx]Bal Sheet - Standardized!R37C41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7" s="3"/>
      </tp>
      <tp>
        <v>29975</v>
        <stp/>
        <stp>##V3_BDHV12</stp>
        <stp>XOM US Equity</stp>
        <stp>OTHER_NONCUR_LIABS_SUB_DETAILED</stp>
        <stp>FQ4 2001</stp>
        <stp>FQ4 2001</stp>
        <stp>[FA1_ivyerigx.xlsx]Bal Sheet - Standardized!R37C16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7" s="3"/>
      </tp>
      <tp>
        <v>29542</v>
        <stp/>
        <stp>##V3_BDHV12</stp>
        <stp>XOM US Equity</stp>
        <stp>OTHER_NONCUR_LIABS_SUB_DETAILED</stp>
        <stp>FQ4 2000</stp>
        <stp>FQ4 2000</stp>
        <stp>[FA1_ivyerigx.xlsx]Bal Sheet - Standardized!R37C12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7" s="3"/>
      </tp>
      <tp>
        <v>-554</v>
        <stp/>
        <stp>##V3_BDHV12</stp>
        <stp>XOM US Equity</stp>
        <stp>CHG_IN_FXD_&amp;_INTANG_AST_DETAILED</stp>
        <stp>FQ4 2000</stp>
        <stp>FQ4 2000</stp>
        <stp>[FA1_ivyerigx.xlsx]Cash Flow - Standardized!R18C12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8" s="4"/>
      </tp>
      <tp>
        <v>2082</v>
        <stp/>
        <stp>##V3_BDHV12</stp>
        <stp>XOM US Equity</stp>
        <stp>CF_FREE_CASH_FLOW</stp>
        <stp>FQ4 1999</stp>
        <stp>FQ4 1999</stp>
        <stp>[FA1_ivyerigx.xlsx]Cash Flow - Standardized!R46C8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6" s="4"/>
      </tp>
      <tp>
        <v>-2936</v>
        <stp/>
        <stp>##V3_BDHV12</stp>
        <stp>XOM US Equity</stp>
        <stp>CHG_IN_FXD_&amp;_INTANG_AST_DETAILED</stp>
        <stp>FQ4 2001</stp>
        <stp>FQ4 2001</stp>
        <stp>[FA1_ivyerigx.xlsx]Cash Flow - Standardized!R18C16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8" s="4"/>
      </tp>
      <tp>
        <v>189</v>
        <stp/>
        <stp>##V3_BDHV12</stp>
        <stp>XOM US Equity</stp>
        <stp>CF_FREE_CASH_FLOW</stp>
        <stp>FQ4 1998</stp>
        <stp>FQ4 1998</stp>
        <stp>[FA1_ivyerigx.xlsx]Cash Flow - Standardized!R46C4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6" s="4"/>
      </tp>
      <tp>
        <v>1403</v>
        <stp/>
        <stp>##V3_BDHV12</stp>
        <stp>XOM US Equity</stp>
        <stp>CF_FREE_CASH_FLOW</stp>
        <stp>FQ3 1998</stp>
        <stp>FQ3 1998</stp>
        <stp>[FA1_ivyerigx.xlsx]Cash Flow - Standardized!R46C3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6" s="4"/>
      </tp>
      <tp>
        <v>916</v>
        <stp/>
        <stp>##V3_BDHV12</stp>
        <stp>XOM US Equity</stp>
        <stp>CF_FREE_CASH_FLOW</stp>
        <stp>FQ1 1999</stp>
        <stp>FQ1 1999</stp>
        <stp>[FA1_ivyerigx.xlsx]Cash Flow - Standardized!R46C5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6" s="4"/>
      </tp>
      <tp>
        <v>1124</v>
        <stp/>
        <stp>##V3_BDHV12</stp>
        <stp>XOM US Equity</stp>
        <stp>CF_FREE_CASH_FLOW</stp>
        <stp>FQ3 1999</stp>
        <stp>FQ3 1999</stp>
        <stp>[FA1_ivyerigx.xlsx]Cash Flow - Standardized!R46C7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6" s="4"/>
      </tp>
      <tp>
        <v>42</v>
        <stp/>
        <stp>##V3_BDHV12</stp>
        <stp>XOM US Equity</stp>
        <stp>CF_FREE_CASH_FLOW</stp>
        <stp>FQ2 1999</stp>
        <stp>FQ2 1999</stp>
        <stp>[FA1_ivyerigx.xlsx]Cash Flow - Standardized!R46C6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6" s="4"/>
      </tp>
      <tp>
        <v>-3566</v>
        <stp/>
        <stp>##V3_BDHV12</stp>
        <stp>XOM US Equity</stp>
        <stp>CHG_IN_FXD_&amp;_INTANG_AST_DETAILED</stp>
        <stp>FQ1 2008</stp>
        <stp>FQ1 2008</stp>
        <stp>[FA1_ivyerigx.xlsx]Cash Flow - Standardized!R18C41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8" s="4"/>
      </tp>
      <tp>
        <v>5490</v>
        <stp/>
        <stp>##V3_BDHV12</stp>
        <stp>XOM US Equity</stp>
        <stp>CF_CASH_FROM_OPER</stp>
        <stp>FQ1 2000</stp>
        <stp>FQ1 2000</stp>
        <stp>[FA1_ivyerigx.xlsx]Cash Flow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4"/>
      </tp>
      <tp>
        <v>2716</v>
        <stp/>
        <stp>##V3_BDHV12</stp>
        <stp>XOM US Equity</stp>
        <stp>IS_INC_BEF_XO_ITEM</stp>
        <stp>FQ3 2002</stp>
        <stp>FQ3 2002</stp>
        <stp>[FA1_ivyerigx.xlsx]Income - Adjusted!R20C19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0" s="2"/>
      </tp>
      <tp>
        <v>6863</v>
        <stp/>
        <stp>##V3_BDHV12</stp>
        <stp>XOM US Equity</stp>
        <stp>IS_INC_BEF_XO_ITEM</stp>
        <stp>FQ1 2003</stp>
        <stp>FQ1 2003</stp>
        <stp>[FA1_ivyerigx.xlsx]Income - Adjusted!R20C21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0" s="2"/>
      </tp>
      <tp>
        <v>0.75239999999999996</v>
        <stp/>
        <stp>##V3_BDHV12</stp>
        <stp>XOM US Equity</stp>
        <stp>OPER_INC_PER_SH</stp>
        <stp>FQ1 2000</stp>
        <stp>FQ1 2000</stp>
        <stp>[FA1_ivyerigx.xlsx]Per Share!R13C9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3" s="5"/>
      </tp>
      <tp>
        <v>76</v>
        <stp/>
        <stp>##V3_BDHV12</stp>
        <stp>XOM US Equity</stp>
        <stp>IS_INT_EXPENSE</stp>
        <stp>FQ3 2001</stp>
        <stp>FQ3 2001</stp>
        <stp>[FA1_ivyerigx.xlsx]Income - Adjusted!R14C15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4" s="2"/>
      </tp>
      <tp>
        <v>73</v>
        <stp/>
        <stp>##V3_BDHV12</stp>
        <stp>XOM US Equity</stp>
        <stp>IS_INT_EXPENSE</stp>
        <stp>FQ3 2005</stp>
        <stp>FQ3 2005</stp>
        <stp>[FA1_ivyerigx.xlsx]Income - Adjusted!R14C31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4" s="2"/>
      </tp>
      <tp>
        <v>143238</v>
        <stp/>
        <stp>##V3_BDHV12</stp>
        <stp>XOM US Equity</stp>
        <stp>TOT_LIAB_AND_EQY</stp>
        <stp>FQ1 2000</stp>
        <stp>FQ1 2000</stp>
        <stp>[FA1_ivyerigx.xlsx]Bal Sheet - Standardized!R49C9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9" s="3"/>
      </tp>
      <tp>
        <v>-1556</v>
        <stp/>
        <stp>##V3_BDHV12</stp>
        <stp>XOM US Equity</stp>
        <stp>CHG_IN_FXD_&amp;_INTANG_AST_DETAILED</stp>
        <stp>FQ4 2002</stp>
        <stp>FQ4 2002</stp>
        <stp>[FA1_ivyerigx.xlsx]Cash Flow - Standardized!R18C20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8" s="4"/>
      </tp>
      <tp>
        <v>-3085</v>
        <stp/>
        <stp>##V3_BDHV12</stp>
        <stp>XOM US Equity</stp>
        <stp>CHG_IN_FXD_&amp;_INTANG_AST_DETAILED</stp>
        <stp>FQ4 2003</stp>
        <stp>FQ4 2003</stp>
        <stp>[FA1_ivyerigx.xlsx]Cash Flow - Standardized!R18C24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8" s="4"/>
      </tp>
      <tp>
        <v>-3713</v>
        <stp/>
        <stp>##V3_BDHV12</stp>
        <stp>XOM US Equity</stp>
        <stp>CHG_IN_FXD_&amp;_INTANG_AST_DETAILED</stp>
        <stp>FQ2 2008</stp>
        <stp>FQ2 2008</stp>
        <stp>[FA1_ivyerigx.xlsx]Cash Flow - Standardized!R18C42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8" s="4"/>
      </tp>
      <tp>
        <v>-2605</v>
        <stp/>
        <stp>##V3_BDHV12</stp>
        <stp>XOM US Equity</stp>
        <stp>CHG_IN_FXD_&amp;_INTANG_AST_DETAILED</stp>
        <stp>FQ4 2004</stp>
        <stp>FQ4 2004</stp>
        <stp>[FA1_ivyerigx.xlsx]Cash Flow - Standardized!R18C28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8" s="4"/>
      </tp>
      <tp>
        <v>0.42870000000000003</v>
        <stp/>
        <stp>##V3_BDHV12</stp>
        <stp>XOM US Equity</stp>
        <stp>CASH_ST_INVESTMENTS_PER_SH</stp>
        <stp>FQ1 2000</stp>
        <stp>FQ1 2000</stp>
        <stp>[FA1_ivyerigx.xlsx]Per Share!R25C9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5" s="5"/>
      </tp>
      <tp>
        <v>56211</v>
        <stp/>
        <stp>##V3_BDHV12</stp>
        <stp>XOM US Equity</stp>
        <stp>SALES_REV_TURN</stp>
        <stp>FQ4 2002</stp>
        <stp>FQ4 2002</stp>
        <stp>[FA1_ivyerigx.xlsx]Income - Adjusted!R6C20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6" s="2"/>
      </tp>
      <tp>
        <v>56646</v>
        <stp/>
        <stp>##V3_BDHV12</stp>
        <stp>XOM US Equity</stp>
        <stp>SALES_REV_TURN</stp>
        <stp>FQ4 2000</stp>
        <stp>FQ4 2000</stp>
        <stp>[FA1_ivyerigx.xlsx]Income - Adjusted!R6C12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6" s="2"/>
      </tp>
      <tp>
        <v>0.28810000000000002</v>
        <stp/>
        <stp>##V3_BDHV12</stp>
        <stp>XOM US Equity</stp>
        <stp>FREE_CASH_FLOW_PER_SH</stp>
        <stp>FQ3 1998</stp>
        <stp>FQ3 1998</stp>
        <stp>[FA1_ivyerigx.xlsx]Per Share!R23C3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3" s="5"/>
      </tp>
      <tp>
        <v>3.8899999999999997E-2</v>
        <stp/>
        <stp>##V3_BDHV12</stp>
        <stp>XOM US Equity</stp>
        <stp>FREE_CASH_FLOW_PER_SH</stp>
        <stp>FQ4 1998</stp>
        <stp>FQ4 1998</stp>
        <stp>[FA1_ivyerigx.xlsx]Per Share!R23C4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3" s="5"/>
      </tp>
      <tp>
        <v>3305</v>
        <stp/>
        <stp>##V3_BDHV12</stp>
        <stp>XOM US Equity</stp>
        <stp>IS_INC_BEF_XO_ITEM</stp>
        <stp>FQ3 2001</stp>
        <stp>FQ3 2001</stp>
        <stp>[FA1_ivyerigx.xlsx]Income - Adjusted!R20C15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0" s="2"/>
      </tp>
      <tp>
        <v>4270</v>
        <stp/>
        <stp>##V3_BDHV12</stp>
        <stp>XOM US Equity</stp>
        <stp>IS_INC_BEF_XO_ITEM</stp>
        <stp>FQ2 2003</stp>
        <stp>FQ2 2003</stp>
        <stp>[FA1_ivyerigx.xlsx]Income - Adjusted!R20C22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0" s="2"/>
      </tp>
      <tp>
        <v>4110</v>
        <stp/>
        <stp>##V3_BDHV12</stp>
        <stp>XOM US Equity</stp>
        <stp>IS_INC_BEF_XO_ITEM</stp>
        <stp>FQ2 2000</stp>
        <stp>FQ2 2000</stp>
        <stp>[FA1_ivyerigx.xlsx]Income - Adjusted!R20C10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0" s="2"/>
      </tp>
      <tp>
        <v>48.18</v>
        <stp/>
        <stp>##V3_BDHV12</stp>
        <stp>XOM US Equity</stp>
        <stp>PX_LOW</stp>
        <stp>FQ4 2004</stp>
        <stp>FQ4 2004</stp>
        <stp>[FA1_ivyerigx.xlsx]Stock Value!R10C28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0" s="6"/>
      </tp>
      <tp>
        <v>123</v>
        <stp/>
        <stp>##V3_BDHV12</stp>
        <stp>XOM US Equity</stp>
        <stp>IS_INT_EXPENSE</stp>
        <stp>FQ4 2005</stp>
        <stp>FQ4 2005</stp>
        <stp>[FA1_ivyerigx.xlsx]Income - Adjusted!R14C32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4" s="2"/>
      </tp>
      <tp>
        <v>70</v>
        <stp/>
        <stp>##V3_BDHV12</stp>
        <stp>XOM US Equity</stp>
        <stp>IS_INT_EXPENSE</stp>
        <stp>FQ4 2001</stp>
        <stp>FQ4 2001</stp>
        <stp>[FA1_ivyerigx.xlsx]Income - Adjusted!R14C16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4" s="2"/>
      </tp>
      <tp>
        <v>54</v>
        <stp/>
        <stp>##V3_BDHV12</stp>
        <stp>XOM US Equity</stp>
        <stp>IS_INT_EXPENSE</stp>
        <stp>FQ4 2003</stp>
        <stp>FQ4 2003</stp>
        <stp>[FA1_ivyerigx.xlsx]Income - Adjusted!R14C24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4" s="2"/>
      </tp>
      <tp>
        <v>128</v>
        <stp/>
        <stp>##V3_BDHV12</stp>
        <stp>XOM US Equity</stp>
        <stp>IS_INT_EXPENSE</stp>
        <stp>FQ4 2007</stp>
        <stp>FQ4 2007</stp>
        <stp>[FA1_ivyerigx.xlsx]Income - Adjusted!R14C40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4" s="2"/>
      </tp>
      <tp>
        <v>8.8107000000000006</v>
        <stp/>
        <stp>##V3_BDHV12</stp>
        <stp>XOM US Equity</stp>
        <stp>TANG_BOOK_VAL_PER_SH</stp>
        <stp>FQ2 1999</stp>
        <stp>FQ2 1999</stp>
        <stp>[FA1_ivyerigx.xlsx]Per Share!R27C6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7" s="5"/>
      </tp>
      <tp>
        <v>9.0212000000000003</v>
        <stp/>
        <stp>##V3_BDHV12</stp>
        <stp>XOM US Equity</stp>
        <stp>TANG_BOOK_VAL_PER_SH</stp>
        <stp>FQ3 1999</stp>
        <stp>FQ3 1999</stp>
        <stp>[FA1_ivyerigx.xlsx]Per Share!R27C7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7" s="5"/>
      </tp>
      <tp>
        <v>8.8375000000000004</v>
        <stp/>
        <stp>##V3_BDHV12</stp>
        <stp>XOM US Equity</stp>
        <stp>TANG_BOOK_VAL_PER_SH</stp>
        <stp>FQ1 1999</stp>
        <stp>FQ1 1999</stp>
        <stp>[FA1_ivyerigx.xlsx]Per Share!R27C5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7" s="5"/>
      </tp>
      <tp t="s">
        <v>—</v>
        <stp/>
        <stp>##V3_BDHV12</stp>
        <stp>XOM US Equity</stp>
        <stp>ACTUAL_SALES_PER_EMPL</stp>
        <stp>FQ2 2008</stp>
        <stp>FQ2 2008</stp>
        <stp>[FA1_ivyerigx.xlsx]Income - Adjusted!R52C42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2" s="2"/>
      </tp>
      <tp t="s">
        <v>—</v>
        <stp/>
        <stp>##V3_BDHV12</stp>
        <stp>XOM US Equity</stp>
        <stp>ACTUAL_SALES_PER_EMPL</stp>
        <stp>FQ2 2001</stp>
        <stp>FQ2 2001</stp>
        <stp>[FA1_ivyerigx.xlsx]Income - Adjusted!R52C14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2" s="2"/>
      </tp>
      <tp t="s">
        <v>—</v>
        <stp/>
        <stp>##V3_BDHV12</stp>
        <stp>XOM US Equity</stp>
        <stp>ACTUAL_SALES_PER_EMPL</stp>
        <stp>FQ2 2000</stp>
        <stp>FQ2 2000</stp>
        <stp>[FA1_ivyerigx.xlsx]Income - Adjusted!R52C10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2" s="2"/>
      </tp>
      <tp t="s">
        <v>—</v>
        <stp/>
        <stp>##V3_BDHV12</stp>
        <stp>XOM US Equity</stp>
        <stp>ACTUAL_SALES_PER_EMPL</stp>
        <stp>FQ2 2003</stp>
        <stp>FQ2 2003</stp>
        <stp>[FA1_ivyerigx.xlsx]Income - Adjusted!R52C22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2" s="2"/>
      </tp>
      <tp t="s">
        <v>—</v>
        <stp/>
        <stp>##V3_BDHV12</stp>
        <stp>XOM US Equity</stp>
        <stp>ACTUAL_SALES_PER_EMPL</stp>
        <stp>FQ2 2002</stp>
        <stp>FQ2 2002</stp>
        <stp>[FA1_ivyerigx.xlsx]Income - Adjusted!R52C18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2" s="2"/>
      </tp>
      <tp t="s">
        <v>—</v>
        <stp/>
        <stp>##V3_BDHV12</stp>
        <stp>XOM US Equity</stp>
        <stp>ACTUAL_SALES_PER_EMPL</stp>
        <stp>FQ2 2007</stp>
        <stp>FQ2 2007</stp>
        <stp>[FA1_ivyerigx.xlsx]Income - Adjusted!R52C38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2" s="2"/>
      </tp>
      <tp t="s">
        <v>—</v>
        <stp/>
        <stp>##V3_BDHV12</stp>
        <stp>XOM US Equity</stp>
        <stp>ACTUAL_SALES_PER_EMPL</stp>
        <stp>FQ2 2006</stp>
        <stp>FQ2 2006</stp>
        <stp>[FA1_ivyerigx.xlsx]Income - Adjusted!R52C34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2" s="2"/>
      </tp>
      <tp t="s">
        <v>—</v>
        <stp/>
        <stp>##V3_BDHV12</stp>
        <stp>XOM US Equity</stp>
        <stp>ACTUAL_SALES_PER_EMPL</stp>
        <stp>FQ2 2005</stp>
        <stp>FQ2 2005</stp>
        <stp>[FA1_ivyerigx.xlsx]Income - Adjusted!R52C30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2" s="2"/>
      </tp>
      <tp t="s">
        <v>—</v>
        <stp/>
        <stp>##V3_BDHV12</stp>
        <stp>XOM US Equity</stp>
        <stp>ACTUAL_SALES_PER_EMPL</stp>
        <stp>FQ2 2004</stp>
        <stp>FQ2 2004</stp>
        <stp>[FA1_ivyerigx.xlsx]Income - Adjusted!R52C26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2" s="2"/>
      </tp>
      <tp t="s">
        <v>—</v>
        <stp/>
        <stp>##V3_BDHV12</stp>
        <stp>XOM US Equity</stp>
        <stp>ACTUAL_SALES_PER_EMPL</stp>
        <stp>FQ3 2003</stp>
        <stp>FQ3 2003</stp>
        <stp>[FA1_ivyerigx.xlsx]Income - Adjusted!R52C23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2" s="2"/>
      </tp>
      <tp t="s">
        <v>—</v>
        <stp/>
        <stp>##V3_BDHV12</stp>
        <stp>XOM US Equity</stp>
        <stp>ACTUAL_SALES_PER_EMPL</stp>
        <stp>FQ3 2000</stp>
        <stp>FQ3 2000</stp>
        <stp>[FA1_ivyerigx.xlsx]Income - Adjusted!R52C11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2" s="2"/>
      </tp>
      <tp t="s">
        <v>—</v>
        <stp/>
        <stp>##V3_BDHV12</stp>
        <stp>XOM US Equity</stp>
        <stp>ACTUAL_SALES_PER_EMPL</stp>
        <stp>FQ3 2001</stp>
        <stp>FQ3 2001</stp>
        <stp>[FA1_ivyerigx.xlsx]Income - Adjusted!R52C15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2" s="2"/>
      </tp>
      <tp t="s">
        <v>—</v>
        <stp/>
        <stp>##V3_BDHV12</stp>
        <stp>XOM US Equity</stp>
        <stp>ACTUAL_SALES_PER_EMPL</stp>
        <stp>FQ3 2002</stp>
        <stp>FQ3 2002</stp>
        <stp>[FA1_ivyerigx.xlsx]Income - Adjusted!R52C19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2" s="2"/>
      </tp>
      <tp t="s">
        <v>—</v>
        <stp/>
        <stp>##V3_BDHV12</stp>
        <stp>XOM US Equity</stp>
        <stp>ACTUAL_SALES_PER_EMPL</stp>
        <stp>FQ3 2006</stp>
        <stp>FQ3 2006</stp>
        <stp>[FA1_ivyerigx.xlsx]Income - Adjusted!R52C35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2" s="2"/>
      </tp>
      <tp t="s">
        <v>—</v>
        <stp/>
        <stp>##V3_BDHV12</stp>
        <stp>XOM US Equity</stp>
        <stp>ACTUAL_SALES_PER_EMPL</stp>
        <stp>FQ3 2007</stp>
        <stp>FQ3 2007</stp>
        <stp>[FA1_ivyerigx.xlsx]Income - Adjusted!R52C39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2" s="2"/>
      </tp>
      <tp t="s">
        <v>—</v>
        <stp/>
        <stp>##V3_BDHV12</stp>
        <stp>XOM US Equity</stp>
        <stp>ACTUAL_SALES_PER_EMPL</stp>
        <stp>FQ3 2005</stp>
        <stp>FQ3 2005</stp>
        <stp>[FA1_ivyerigx.xlsx]Income - Adjusted!R52C31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2" s="2"/>
      </tp>
      <tp t="s">
        <v>—</v>
        <stp/>
        <stp>##V3_BDHV12</stp>
        <stp>XOM US Equity</stp>
        <stp>ACTUAL_SALES_PER_EMPL</stp>
        <stp>FQ3 2004</stp>
        <stp>FQ3 2004</stp>
        <stp>[FA1_ivyerigx.xlsx]Income - Adjusted!R52C27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2" s="2"/>
      </tp>
      <tp t="s">
        <v>—</v>
        <stp/>
        <stp>##V3_BDHV12</stp>
        <stp>XOM US Equity</stp>
        <stp>ACTUAL_SALES_PER_EMPL</stp>
        <stp>FQ1 2008</stp>
        <stp>FQ1 2008</stp>
        <stp>[FA1_ivyerigx.xlsx]Income - Adjusted!R52C41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2" s="2"/>
      </tp>
      <tp t="s">
        <v>—</v>
        <stp/>
        <stp>##V3_BDHV12</stp>
        <stp>XOM US Equity</stp>
        <stp>ACTUAL_SALES_PER_EMPL</stp>
        <stp>FQ1 2002</stp>
        <stp>FQ1 2002</stp>
        <stp>[FA1_ivyerigx.xlsx]Income - Adjusted!R52C17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2" s="2"/>
      </tp>
      <tp t="s">
        <v>—</v>
        <stp/>
        <stp>##V3_BDHV12</stp>
        <stp>XOM US Equity</stp>
        <stp>ACTUAL_SALES_PER_EMPL</stp>
        <stp>FQ1 2003</stp>
        <stp>FQ1 2003</stp>
        <stp>[FA1_ivyerigx.xlsx]Income - Adjusted!R52C21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2" s="2"/>
      </tp>
      <tp t="s">
        <v>—</v>
        <stp/>
        <stp>##V3_BDHV12</stp>
        <stp>XOM US Equity</stp>
        <stp>ACTUAL_SALES_PER_EMPL</stp>
        <stp>FQ1 2001</stp>
        <stp>FQ1 2001</stp>
        <stp>[FA1_ivyerigx.xlsx]Income - Adjusted!R52C13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2" s="2"/>
      </tp>
      <tp t="s">
        <v>—</v>
        <stp/>
        <stp>##V3_BDHV12</stp>
        <stp>XOM US Equity</stp>
        <stp>ACTUAL_SALES_PER_EMPL</stp>
        <stp>FQ1 2005</stp>
        <stp>FQ1 2005</stp>
        <stp>[FA1_ivyerigx.xlsx]Income - Adjusted!R52C29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2" s="2"/>
      </tp>
      <tp t="s">
        <v>—</v>
        <stp/>
        <stp>##V3_BDHV12</stp>
        <stp>XOM US Equity</stp>
        <stp>ACTUAL_SALES_PER_EMPL</stp>
        <stp>FQ1 2004</stp>
        <stp>FQ1 2004</stp>
        <stp>[FA1_ivyerigx.xlsx]Income - Adjusted!R52C25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2" s="2"/>
      </tp>
      <tp t="s">
        <v>—</v>
        <stp/>
        <stp>##V3_BDHV12</stp>
        <stp>XOM US Equity</stp>
        <stp>ACTUAL_SALES_PER_EMPL</stp>
        <stp>FQ1 2006</stp>
        <stp>FQ1 2006</stp>
        <stp>[FA1_ivyerigx.xlsx]Income - Adjusted!R52C33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2" s="2"/>
      </tp>
      <tp t="s">
        <v>—</v>
        <stp/>
        <stp>##V3_BDHV12</stp>
        <stp>XOM US Equity</stp>
        <stp>ACTUAL_SALES_PER_EMPL</stp>
        <stp>FQ1 2007</stp>
        <stp>FQ1 2007</stp>
        <stp>[FA1_ivyerigx.xlsx]Income - Adjusted!R52C37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2" s="2"/>
      </tp>
      <tp>
        <v>859487.77650000004</v>
        <stp/>
        <stp>##V3_BDHV12</stp>
        <stp>XOM US Equity</stp>
        <stp>ACTUAL_SALES_PER_EMPL</stp>
        <stp>FQ4 2004</stp>
        <stp>FQ4 2004</stp>
        <stp>[FA1_ivyerigx.xlsx]Income - Adjusted!R52C28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2" s="2"/>
      </tp>
      <tp>
        <v>1054934.2890999999</v>
        <stp/>
        <stp>##V3_BDHV12</stp>
        <stp>XOM US Equity</stp>
        <stp>ACTUAL_SALES_PER_EMPL</stp>
        <stp>FQ4 2005</stp>
        <stp>FQ4 2005</stp>
        <stp>[FA1_ivyerigx.xlsx]Income - Adjusted!R52C32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2" s="2"/>
      </tp>
      <tp>
        <v>975834.34840000002</v>
        <stp/>
        <stp>##V3_BDHV12</stp>
        <stp>XOM US Equity</stp>
        <stp>ACTUAL_SALES_PER_EMPL</stp>
        <stp>FQ4 2006</stp>
        <stp>FQ4 2006</stp>
        <stp>[FA1_ivyerigx.xlsx]Income - Adjusted!R52C36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2" s="2"/>
      </tp>
      <tp>
        <v>1278477.7228000001</v>
        <stp/>
        <stp>##V3_BDHV12</stp>
        <stp>XOM US Equity</stp>
        <stp>ACTUAL_SALES_PER_EMPL</stp>
        <stp>FQ4 2007</stp>
        <stp>FQ4 2007</stp>
        <stp>[FA1_ivyerigx.xlsx]Income - Adjusted!R52C40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2" s="2"/>
      </tp>
      <tp t="s">
        <v>—</v>
        <stp/>
        <stp>##V3_BDHV12</stp>
        <stp>XOM US Equity</stp>
        <stp>ACTUAL_SALES_PER_EMPL</stp>
        <stp>FQ4 2001</stp>
        <stp>FQ4 2001</stp>
        <stp>[FA1_ivyerigx.xlsx]Income - Adjusted!R52C16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2" s="2"/>
      </tp>
      <tp t="s">
        <v>—</v>
        <stp/>
        <stp>##V3_BDHV12</stp>
        <stp>XOM US Equity</stp>
        <stp>ACTUAL_SALES_PER_EMPL</stp>
        <stp>FQ4 2002</stp>
        <stp>FQ4 2002</stp>
        <stp>[FA1_ivyerigx.xlsx]Income - Adjusted!R52C20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2" s="2"/>
      </tp>
      <tp t="s">
        <v>—</v>
        <stp/>
        <stp>##V3_BDHV12</stp>
        <stp>XOM US Equity</stp>
        <stp>ACTUAL_SALES_PER_EMPL</stp>
        <stp>FQ4 2003</stp>
        <stp>FQ4 2003</stp>
        <stp>[FA1_ivyerigx.xlsx]Income - Adjusted!R52C24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2" s="2"/>
      </tp>
      <tp t="s">
        <v>—</v>
        <stp/>
        <stp>##V3_BDHV12</stp>
        <stp>XOM US Equity</stp>
        <stp>ACTUAL_SALES_PER_EMPL</stp>
        <stp>FQ4 2000</stp>
        <stp>FQ4 2000</stp>
        <stp>[FA1_ivyerigx.xlsx]Income - Adjusted!R52C12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2" s="2"/>
      </tp>
      <tp>
        <v>41095</v>
        <stp/>
        <stp>##V3_BDHV12</stp>
        <stp>XOM US Equity</stp>
        <stp>OTHER_NONCUR_LIABS_SUB_DETAILED</stp>
        <stp>FQ4 2005</stp>
        <stp>FQ4 2005</stp>
        <stp>[FA1_ivyerigx.xlsx]Bal Sheet - Standardized!R37C32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7" s="3"/>
      </tp>
      <tp>
        <v>49709</v>
        <stp/>
        <stp>##V3_BDHV12</stp>
        <stp>XOM US Equity</stp>
        <stp>OTHER_NONCUR_LIABS_SUB_DETAILED</stp>
        <stp>FQ4 2006</stp>
        <stp>FQ4 2006</stp>
        <stp>[FA1_ivyerigx.xlsx]Bal Sheet - Standardized!R37C36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7" s="3"/>
      </tp>
      <tp>
        <v>-1081</v>
        <stp/>
        <stp>##V3_BDHV12</stp>
        <stp>XOM US Equity</stp>
        <stp>CHG_IN_FXD_&amp;_INTANG_AST_DETAILED</stp>
        <stp>FQ4 2006</stp>
        <stp>FQ4 2006</stp>
        <stp>[FA1_ivyerigx.xlsx]Cash Flow - Standardized!R18C36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8" s="4"/>
      </tp>
      <tp>
        <v>-2443</v>
        <stp/>
        <stp>##V3_BDHV12</stp>
        <stp>XOM US Equity</stp>
        <stp>CHG_IN_FXD_&amp;_INTANG_AST_DETAILED</stp>
        <stp>FQ4 2005</stp>
        <stp>FQ4 2005</stp>
        <stp>[FA1_ivyerigx.xlsx]Cash Flow - Standardized!R18C32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8" s="4"/>
      </tp>
      <tp>
        <v>174</v>
        <stp/>
        <stp>##V3_BDHV12</stp>
        <stp>XOM US Equity</stp>
        <stp>IS_INT_EXPENSE</stp>
        <stp>FQ1 2000</stp>
        <stp>FQ1 2000</stp>
        <stp>[FA1_ivyerigx.xlsx]Income - Adjusted!R14C9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>
        <v>88571</v>
        <stp/>
        <stp>##V3_BDHV12</stp>
        <stp>XOM US Equity</stp>
        <stp>SALES_REV_TURN</stp>
        <stp>FQ3 2005</stp>
        <stp>FQ3 2005</stp>
        <stp>[FA1_ivyerigx.xlsx]Income - Adjusted!R6C31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6" s="2"/>
      </tp>
      <tp>
        <v>79107</v>
        <stp/>
        <stp>##V3_BDHV12</stp>
        <stp>XOM US Equity</stp>
        <stp>SALES_REV_TURN</stp>
        <stp>FQ2 2005</stp>
        <stp>FQ2 2005</stp>
        <stp>[FA1_ivyerigx.xlsx]Income - Adjusted!R6C30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6" s="2"/>
      </tp>
      <tp>
        <v>3339</v>
        <stp/>
        <stp>##V3_BDHV12</stp>
        <stp>XOM US Equity</stp>
        <stp>EBITDA</stp>
        <stp>FQ3 1999</stp>
        <stp>FQ3 1999</stp>
        <stp>[FA1_ivyerigx.xlsx]Income - Adjusted!R45C7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45" s="2"/>
      </tp>
      <tp>
        <v>2541</v>
        <stp/>
        <stp>##V3_BDHV12</stp>
        <stp>XOM US Equity</stp>
        <stp>EBITDA</stp>
        <stp>FQ2 1999</stp>
        <stp>FQ2 1999</stp>
        <stp>[FA1_ivyerigx.xlsx]Income - Adjusted!R45C6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45" s="2"/>
      </tp>
      <tp>
        <v>2015</v>
        <stp/>
        <stp>##V3_BDHV12</stp>
        <stp>XOM US Equity</stp>
        <stp>EBITDA</stp>
        <stp>FQ1 1999</stp>
        <stp>FQ1 1999</stp>
        <stp>[FA1_ivyerigx.xlsx]Income - Adjusted!R45C5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45" s="2"/>
      </tp>
      <tp>
        <v>45816</v>
        <stp/>
        <stp>##V3_BDHV12</stp>
        <stp>XOM US Equity</stp>
        <stp>SALES_REV_TURN</stp>
        <stp>FQ3 2001</stp>
        <stp>FQ3 2001</stp>
        <stp>[FA1_ivyerigx.xlsx]Income - Adjusted!R6C15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6" s="2"/>
      </tp>
      <tp>
        <v>49875</v>
        <stp/>
        <stp>##V3_BDHV12</stp>
        <stp>XOM US Equity</stp>
        <stp>SALES_REV_TURN</stp>
        <stp>FQ2 2001</stp>
        <stp>FQ2 2001</stp>
        <stp>[FA1_ivyerigx.xlsx]Income - Adjusted!R6C14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6" s="2"/>
      </tp>
      <tp>
        <v>8701</v>
        <stp/>
        <stp>##V3_BDHV12</stp>
        <stp>XOM US Equity</stp>
        <stp>IS_INC_BEF_XO_ITEM</stp>
        <stp>FQ4 2004</stp>
        <stp>FQ4 2004</stp>
        <stp>[FA1_ivyerigx.xlsx]Income - Adjusted!R20C28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0" s="2"/>
      </tp>
      <tp>
        <v>11169</v>
        <stp/>
        <stp>##V3_BDHV12</stp>
        <stp>XOM US Equity</stp>
        <stp>IS_OPERATING_EXPN</stp>
        <stp>FQ1 2000</stp>
        <stp>FQ1 2000</stp>
        <stp>[FA1_ivyerigx.xlsx]Income - Adjusted!R10C9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0" s="2"/>
      </tp>
      <tp>
        <v>11041</v>
        <stp/>
        <stp>##V3_BDHV12</stp>
        <stp>XOM US Equity</stp>
        <stp>IS_INC_BEF_XO_ITEM</stp>
        <stp>FQ4 2005</stp>
        <stp>FQ4 2005</stp>
        <stp>[FA1_ivyerigx.xlsx]Income - Adjusted!R20C32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0" s="2"/>
      </tp>
      <tp>
        <v>2105</v>
        <stp/>
        <stp>##V3_BDHV12</stp>
        <stp>XOM US Equity</stp>
        <stp>IS_INC_BEF_XO_ITEM</stp>
        <stp>FQ1 2002</stp>
        <stp>FQ1 2002</stp>
        <stp>[FA1_ivyerigx.xlsx]Income - Adjusted!R20C17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0" s="2"/>
      </tp>
      <tp>
        <v>4368</v>
        <stp/>
        <stp>##V3_BDHV12</stp>
        <stp>XOM US Equity</stp>
        <stp>IS_INC_BEF_XO_ITEM</stp>
        <stp>FQ2 2001</stp>
        <stp>FQ2 2001</stp>
        <stp>[FA1_ivyerigx.xlsx]Income - Adjusted!R20C14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0" s="2"/>
      </tp>
      <tp>
        <v>4133</v>
        <stp/>
        <stp>##V3_BDHV12</stp>
        <stp>XOM US Equity</stp>
        <stp>IS_INC_BEF_XO_ITEM</stp>
        <stp>FQ3 2000</stp>
        <stp>FQ3 2000</stp>
        <stp>[FA1_ivyerigx.xlsx]Income - Adjusted!R20C11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0" s="2"/>
      </tp>
      <tp>
        <v>3751</v>
        <stp/>
        <stp>##V3_BDHV12</stp>
        <stp>XOM US Equity</stp>
        <stp>IS_INC_BEF_XO_ITEM</stp>
        <stp>FQ3 2003</stp>
        <stp>FQ3 2003</stp>
        <stp>[FA1_ivyerigx.xlsx]Income - Adjusted!R20C23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0" s="2"/>
      </tp>
      <tp>
        <v>57372</v>
        <stp/>
        <stp>##V3_BDHV12</stp>
        <stp>XOM US Equity</stp>
        <stp>OTHER_NONCUR_LIABS_SUB_DETAILED</stp>
        <stp>FQ2 2008</stp>
        <stp>FQ2 2008</stp>
        <stp>[FA1_ivyerigx.xlsx]Bal Sheet - Standardized!R37C42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7" s="3"/>
      </tp>
      <tp>
        <v>41554</v>
        <stp/>
        <stp>##V3_BDHV12</stp>
        <stp>XOM US Equity</stp>
        <stp>OTHER_NONCUR_LIABS_SUB_DETAILED</stp>
        <stp>FQ4 2004</stp>
        <stp>FQ4 2004</stp>
        <stp>[FA1_ivyerigx.xlsx]Bal Sheet - Standardized!R37C28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7" s="3"/>
      </tp>
      <tp>
        <v>0.31</v>
        <stp/>
        <stp>##V3_BDHV12</stp>
        <stp>XOM US Equity</stp>
        <stp>IS_DIL_EPS_BEF_XO</stp>
        <stp>FQ4 1998</stp>
        <stp>FQ4 1998</stp>
        <stp>[FA1_ivyerigx.xlsx]Income - Adjusted!R40C4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0" s="2"/>
      </tp>
      <tp>
        <v>0.28999999999999998</v>
        <stp/>
        <stp>##V3_BDHV12</stp>
        <stp>XOM US Equity</stp>
        <stp>IS_DIL_EPS_BEF_XO</stp>
        <stp>FQ3 1998</stp>
        <stp>FQ3 1998</stp>
        <stp>[FA1_ivyerigx.xlsx]Income - Adjusted!R40C3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0" s="2"/>
      </tp>
      <tp>
        <v>14639</v>
        <stp/>
        <stp>##V3_BDHV12</stp>
        <stp>XOM US Equity</stp>
        <stp>OTHER_CURRENT_LIABS_SUB_DETAILED</stp>
        <stp>FQ4 1999</stp>
        <stp>FQ4 1999</stp>
        <stp>[FA1_ivyerigx.xlsx]Bal Sheet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3"/>
      </tp>
      <tp>
        <v>37839</v>
        <stp/>
        <stp>##V3_BDHV12</stp>
        <stp>XOM US Equity</stp>
        <stp>OTHER_NONCUR_LIABS_SUB_DETAILED</stp>
        <stp>FQ4 2003</stp>
        <stp>FQ4 2003</stp>
        <stp>[FA1_ivyerigx.xlsx]Bal Sheet - Standardized!R37C24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7" s="3"/>
      </tp>
      <tp>
        <v>1365</v>
        <stp/>
        <stp>##V3_BDHV12</stp>
        <stp>XOM US Equity</stp>
        <stp>OTHER_CURRENT_LIABS_SUB_DETAILED</stp>
        <stp>FQ1 1999</stp>
        <stp>FQ1 1999</stp>
        <stp>[FA1_ivyerigx.xlsx]Bal Sheet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3"/>
      </tp>
      <tp>
        <v>1206</v>
        <stp/>
        <stp>##V3_BDHV12</stp>
        <stp>XOM US Equity</stp>
        <stp>OTHER_CURRENT_LIABS_SUB_DETAILED</stp>
        <stp>FQ2 1999</stp>
        <stp>FQ2 1999</stp>
        <stp>[FA1_ivyerigx.xlsx]Bal Sheet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3"/>
      </tp>
      <tp>
        <v>1349</v>
        <stp/>
        <stp>##V3_BDHV12</stp>
        <stp>XOM US Equity</stp>
        <stp>OTHER_CURRENT_LIABS_SUB_DETAILED</stp>
        <stp>FQ3 1999</stp>
        <stp>FQ3 1999</stp>
        <stp>[FA1_ivyerigx.xlsx]Bal Sheet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3"/>
      </tp>
      <tp>
        <v>35449</v>
        <stp/>
        <stp>##V3_BDHV12</stp>
        <stp>XOM US Equity</stp>
        <stp>OTHER_NONCUR_LIABS_SUB_DETAILED</stp>
        <stp>FQ4 2002</stp>
        <stp>FQ4 2002</stp>
        <stp>[FA1_ivyerigx.xlsx]Bal Sheet - Standardized!R37C20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7" s="3"/>
      </tp>
      <tp>
        <v>7795</v>
        <stp/>
        <stp>##V3_BDHV12</stp>
        <stp>XOM US Equity</stp>
        <stp>OTHER_CURRENT_LIABS_SUB_DETAILED</stp>
        <stp>FQ4 1998</stp>
        <stp>FQ4 1998</stp>
        <stp>[FA1_ivyerigx.xlsx]Bal Sheet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3"/>
      </tp>
      <tp>
        <v>1857</v>
        <stp/>
        <stp>##V3_BDHV12</stp>
        <stp>XOM US Equity</stp>
        <stp>OTHER_CURRENT_LIABS_SUB_DETAILED</stp>
        <stp>FQ3 1998</stp>
        <stp>FQ3 1998</stp>
        <stp>[FA1_ivyerigx.xlsx]Bal Sheet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163335</v>
        <stp/>
        <stp>##V3_BDHV12</stp>
        <stp>XOM US Equity</stp>
        <stp>BS_PURE_RETAINED_EARNINGS</stp>
        <stp>FQ4 2005</stp>
        <stp>FQ4 2005</stp>
        <stp>[FA1_ivyerigx.xlsx]Bal Sheet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3"/>
      </tp>
      <tp>
        <v>195207</v>
        <stp/>
        <stp>##V3_BDHV12</stp>
        <stp>XOM US Equity</stp>
        <stp>BS_PURE_RETAINED_EARNINGS</stp>
        <stp>FQ4 2006</stp>
        <stp>FQ4 2006</stp>
        <stp>[FA1_ivyerigx.xlsx]Bal Sheet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3"/>
      </tp>
      <tp>
        <v>0.61580000000000001</v>
        <stp/>
        <stp>##V3_BDHV12</stp>
        <stp>XOM US Equity</stp>
        <stp>EBITDA_PER_SH</stp>
        <stp>FQ3 1998</stp>
        <stp>FQ3 1998</stp>
        <stp>[FA1_ivyerigx.xlsx]Per Share!R12C3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C12" s="5"/>
      </tp>
      <tp t="s">
        <v>—</v>
        <stp/>
        <stp>##V3_BDHV12</stp>
        <stp>XOM US Equity</stp>
        <stp>EBITDA_PER_SH</stp>
        <stp>FQ4 1998</stp>
        <stp>FQ4 1998</stp>
        <stp>[FA1_ivyerigx.xlsx]Per Share!R12C4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D12" s="5"/>
      </tp>
      <tp>
        <v>5536</v>
        <stp/>
        <stp>##V3_BDHV12</stp>
        <stp>XOM US Equity</stp>
        <stp>IS_SH_FOR_DILUTED_EPS</stp>
        <stp>FQ3 2007</stp>
        <stp>FQ3 2007</stp>
        <stp>[FA1_ivyerigx.xlsx]Per Share!R7C39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7" s="5"/>
      </tp>
      <tp>
        <v>5620</v>
        <stp/>
        <stp>##V3_BDHV12</stp>
        <stp>XOM US Equity</stp>
        <stp>IS_SH_FOR_DILUTED_EPS</stp>
        <stp>FQ2 2007</stp>
        <stp>FQ2 2007</stp>
        <stp>[FA1_ivyerigx.xlsx]Per Share!R7C38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7" s="5"/>
      </tp>
      <tp>
        <v>6421</v>
        <stp/>
        <stp>##V3_BDHV12</stp>
        <stp>XOM US Equity</stp>
        <stp>IS_SH_FOR_DILUTED_EPS</stp>
        <stp>FQ1 2005</stp>
        <stp>FQ1 2005</stp>
        <stp>[FA1_ivyerigx.xlsx]Per Share!R7C29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7" s="5"/>
      </tp>
      <tp>
        <v>6365</v>
        <stp/>
        <stp>##V3_BDHV12</stp>
        <stp>XOM US Equity</stp>
        <stp>IS_AVG_NUM_SH_FOR_EPS</stp>
        <stp>FQ1 2005</stp>
        <stp>FQ1 2005</stp>
        <stp>[FA1_ivyerigx.xlsx]Per Share!R8C29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8" s="5"/>
      </tp>
      <tp>
        <v>5555</v>
        <stp/>
        <stp>##V3_BDHV12</stp>
        <stp>XOM US Equity</stp>
        <stp>IS_AVG_NUM_SH_FOR_EPS</stp>
        <stp>FQ2 2007</stp>
        <stp>FQ2 2007</stp>
        <stp>[FA1_ivyerigx.xlsx]Per Share!R8C38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8" s="5"/>
      </tp>
      <tp>
        <v>5470</v>
        <stp/>
        <stp>##V3_BDHV12</stp>
        <stp>XOM US Equity</stp>
        <stp>IS_AVG_NUM_SH_FOR_EPS</stp>
        <stp>FQ3 2007</stp>
        <stp>FQ3 2007</stp>
        <stp>[FA1_ivyerigx.xlsx]Per Share!R8C39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8" s="5"/>
      </tp>
      <tp t="s">
        <v>—</v>
        <stp/>
        <stp>##V3_BDHV12</stp>
        <stp>XOM US Equity</stp>
        <stp>IS_OTHER_OPER_INC</stp>
        <stp>FQ4 2002</stp>
        <stp>FQ4 2002</stp>
        <stp>[FA1_ivyerigx.xlsx]Income - Adjusted!R9C20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9" s="2"/>
      </tp>
      <tp t="s">
        <v>—</v>
        <stp/>
        <stp>##V3_BDHV12</stp>
        <stp>XOM US Equity</stp>
        <stp>IS_OTHER_OPER_INC</stp>
        <stp>FQ4 2000</stp>
        <stp>FQ4 2000</stp>
        <stp>[FA1_ivyerigx.xlsx]Income - Adjusted!R9C12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9" s="2"/>
      </tp>
      <tp>
        <v>10549</v>
        <stp/>
        <stp>##V3_BDHV12</stp>
        <stp>XOM US Equity</stp>
        <stp>EBITDA</stp>
        <stp>FQ2 2004</stp>
        <stp>FQ2 2004</stp>
        <stp>[FA1_ivyerigx.xlsx]Income - Adjusted!R45C26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5" s="2"/>
      </tp>
      <tp>
        <v>18314</v>
        <stp/>
        <stp>##V3_BDHV12</stp>
        <stp>XOM US Equity</stp>
        <stp>EBITDA</stp>
        <stp>FQ2 2006</stp>
        <stp>FQ2 2006</stp>
        <stp>[FA1_ivyerigx.xlsx]Income - Adjusted!R45C34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5" s="2"/>
      </tp>
      <tp>
        <v>8883</v>
        <stp/>
        <stp>##V3_BDHV12</stp>
        <stp>XOM US Equity</stp>
        <stp>EBITDA</stp>
        <stp>FQ1 2003</stp>
        <stp>FQ1 2003</stp>
        <stp>[FA1_ivyerigx.xlsx]Income - Adjusted!R45C21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5" s="2"/>
      </tp>
      <tp>
        <v>9382</v>
        <stp/>
        <stp>##V3_BDHV12</stp>
        <stp>XOM US Equity</stp>
        <stp>EBITDA</stp>
        <stp>FQ1 2001</stp>
        <stp>FQ1 2001</stp>
        <stp>[FA1_ivyerigx.xlsx]Income - Adjusted!R45C13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5" s="2"/>
      </tp>
      <tp>
        <v>6938</v>
        <stp/>
        <stp>##V3_BDHV12</stp>
        <stp>XOM US Equity</stp>
        <stp>EBITDA</stp>
        <stp>FQ4 2002</stp>
        <stp>FQ4 2002</stp>
        <stp>[FA1_ivyerigx.xlsx]Income - Adjusted!R45C20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5" s="2"/>
      </tp>
      <tp>
        <v>9804</v>
        <stp/>
        <stp>##V3_BDHV12</stp>
        <stp>XOM US Equity</stp>
        <stp>EBITDA</stp>
        <stp>FQ4 2000</stp>
        <stp>FQ4 2000</stp>
        <stp>[FA1_ivyerigx.xlsx]Income - Adjusted!R45C12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5" s="2"/>
      </tp>
      <tp>
        <v>10360</v>
        <stp/>
        <stp>##V3_BDHV12</stp>
        <stp>XOM US Equity</stp>
        <stp>NET_INCOME</stp>
        <stp>FQ2 2006</stp>
        <stp>FQ2 2006</stp>
        <stp>[FA1_ivyerigx.xlsx]Income - Adjusted!R24C34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4" s="2"/>
      </tp>
      <tp>
        <v>5790</v>
        <stp/>
        <stp>##V3_BDHV12</stp>
        <stp>XOM US Equity</stp>
        <stp>NET_INCOME</stp>
        <stp>FQ2 2004</stp>
        <stp>FQ2 2004</stp>
        <stp>[FA1_ivyerigx.xlsx]Income - Adjusted!R24C26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4" s="2"/>
      </tp>
      <tp>
        <v>5000</v>
        <stp/>
        <stp>##V3_BDHV12</stp>
        <stp>XOM US Equity</stp>
        <stp>NET_INCOME</stp>
        <stp>FQ1 2001</stp>
        <stp>FQ1 2001</stp>
        <stp>[FA1_ivyerigx.xlsx]Income - Adjusted!R24C13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4" s="2"/>
      </tp>
      <tp>
        <v>7040</v>
        <stp/>
        <stp>##V3_BDHV12</stp>
        <stp>XOM US Equity</stp>
        <stp>NET_INCOME</stp>
        <stp>FQ1 2003</stp>
        <stp>FQ1 2003</stp>
        <stp>[FA1_ivyerigx.xlsx]Income - Adjusted!R24C21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4" s="2"/>
      </tp>
      <tp>
        <v>5220</v>
        <stp/>
        <stp>##V3_BDHV12</stp>
        <stp>XOM US Equity</stp>
        <stp>NET_INCOME</stp>
        <stp>FQ4 2000</stp>
        <stp>FQ4 2000</stp>
        <stp>[FA1_ivyerigx.xlsx]Income - Adjusted!R24C12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4" s="2"/>
      </tp>
      <tp>
        <v>4090</v>
        <stp/>
        <stp>##V3_BDHV12</stp>
        <stp>XOM US Equity</stp>
        <stp>NET_INCOME</stp>
        <stp>FQ4 2002</stp>
        <stp>FQ4 2002</stp>
        <stp>[FA1_ivyerigx.xlsx]Income - Adjusted!R24C20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4" s="2"/>
      </tp>
      <tp>
        <v>108</v>
        <stp/>
        <stp>##V3_BDHV12</stp>
        <stp>XOM US Equity</stp>
        <stp>BS_MKT_SEC_OTHER_ST_INVEST</stp>
        <stp>FQ3 1998</stp>
        <stp>FQ3 1998</stp>
        <stp>[FA1_ivyerigx.xlsx]Bal Sheet - Standardized!R9C3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20</v>
        <stp/>
        <stp>##V3_BDHV12</stp>
        <stp>XOM US Equity</stp>
        <stp>BS_MKT_SEC_OTHER_ST_INVEST</stp>
        <stp>FQ4 1998</stp>
        <stp>FQ4 1998</stp>
        <stp>[FA1_ivyerigx.xlsx]Bal Sheet - Standardized!R9C4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9" s="3"/>
      </tp>
      <tp>
        <v>0</v>
        <stp/>
        <stp>##V3_BDHV12</stp>
        <stp>XOM US Equity</stp>
        <stp>INVTRY_IN_PROGRESS</stp>
        <stp>FQ4 2000</stp>
        <stp>FQ4 2000</stp>
        <stp>[FA1_ivyerigx.xlsx]Bal Sheet - Standardized!R14C12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4" s="3"/>
      </tp>
      <tp>
        <v>13546</v>
        <stp/>
        <stp>##V3_BDHV12</stp>
        <stp>XOM US Equity</stp>
        <stp>PRETAX_INC</stp>
        <stp>FQ4 2004</stp>
        <stp>FQ4 2004</stp>
        <stp>[FA1_ivyerigx.xlsx]Income - Adjusted!R18C28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18" s="2"/>
      </tp>
      <tp>
        <v>12998</v>
        <stp/>
        <stp>##V3_BDHV12</stp>
        <stp>XOM US Equity</stp>
        <stp>PRETAX_INC</stp>
        <stp>FQ1 2005</stp>
        <stp>FQ1 2005</stp>
        <stp>[FA1_ivyerigx.xlsx]Income - Adjusted!R18C29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18" s="2"/>
      </tp>
      <tp>
        <v>0</v>
        <stp/>
        <stp>##V3_BDHV12</stp>
        <stp>XOM US Equity</stp>
        <stp>INVTRY_IN_PROGRESS</stp>
        <stp>FQ4 2001</stp>
        <stp>FQ4 2001</stp>
        <stp>[FA1_ivyerigx.xlsx]Bal Sheet - Standardized!R14C16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4" s="3"/>
      </tp>
      <tp>
        <v>0</v>
        <stp/>
        <stp>##V3_BDHV12</stp>
        <stp>XOM US Equity</stp>
        <stp>INVTRY_IN_PROGRESS</stp>
        <stp>FQ1 2008</stp>
        <stp>FQ1 2008</stp>
        <stp>[FA1_ivyerigx.xlsx]Bal Sheet - Standardized!R14C41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4" s="3"/>
      </tp>
      <tp t="s">
        <v>—</v>
        <stp/>
        <stp>##V3_BDHV12</stp>
        <stp>XOM US Equity</stp>
        <stp>BS_PENSION_RSRV</stp>
        <stp>FQ2 2000</stp>
        <stp>FQ2 2000</stp>
        <stp>[FA1_ivyerigx.xlsx]Bal Sheet - Standardized!R55C10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3"/>
      </tp>
      <tp t="s">
        <v>—</v>
        <stp/>
        <stp>##V3_BDHV12</stp>
        <stp>XOM US Equity</stp>
        <stp>BS_PENSION_RSRV</stp>
        <stp>FQ1 2003</stp>
        <stp>FQ1 2003</stp>
        <stp>[FA1_ivyerigx.xlsx]Bal Sheet - Standardized!R55C21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3"/>
      </tp>
      <tp t="s">
        <v>—</v>
        <stp/>
        <stp>##V3_BDHV12</stp>
        <stp>XOM US Equity</stp>
        <stp>BS_PENSION_RSRV</stp>
        <stp>FQ1 2004</stp>
        <stp>FQ1 2004</stp>
        <stp>[FA1_ivyerigx.xlsx]Bal Sheet - Standardized!R55C25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3"/>
      </tp>
      <tp t="s">
        <v>—</v>
        <stp/>
        <stp>##V3_BDHV12</stp>
        <stp>XOM US Equity</stp>
        <stp>BS_PENSION_RSRV</stp>
        <stp>FQ2 2001</stp>
        <stp>FQ2 2001</stp>
        <stp>[FA1_ivyerigx.xlsx]Bal Sheet - Standardized!R55C14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3"/>
      </tp>
      <tp t="s">
        <v>—</v>
        <stp/>
        <stp>##V3_BDHV12</stp>
        <stp>XOM US Equity</stp>
        <stp>BS_PENSION_RSRV</stp>
        <stp>FQ2 2002</stp>
        <stp>FQ2 2002</stp>
        <stp>[FA1_ivyerigx.xlsx]Bal Sheet - Standardized!R55C18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3"/>
      </tp>
      <tp t="s">
        <v>—</v>
        <stp/>
        <stp>##V3_BDHV12</stp>
        <stp>XOM US Equity</stp>
        <stp>MINORITY_NONCONTROLLING_INTEREST</stp>
        <stp>FQ1 2000</stp>
        <stp>FQ1 2000</stp>
        <stp>[FA1_ivyerigx.xlsx]Bal Sheet - Standardized!R47C9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7" s="3"/>
      </tp>
      <tp t="s">
        <v>—</v>
        <stp/>
        <stp>##V3_BDHV12</stp>
        <stp>XOM US Equity</stp>
        <stp>BS_PENSION_RSRV</stp>
        <stp>FQ1 2005</stp>
        <stp>FQ1 2005</stp>
        <stp>[FA1_ivyerigx.xlsx]Bal Sheet - Standardized!R55C29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3"/>
      </tp>
      <tp>
        <v>115956</v>
        <stp/>
        <stp>##V3_BDHV12</stp>
        <stp>XOM US Equity</stp>
        <stp>BS_PURE_RETAINED_EARNINGS</stp>
        <stp>FQ4 2003</stp>
        <stp>FQ4 2003</stp>
        <stp>[FA1_ivyerigx.xlsx]Bal Sheet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3"/>
      </tp>
      <tp>
        <v>100961</v>
        <stp/>
        <stp>##V3_BDHV12</stp>
        <stp>XOM US Equity</stp>
        <stp>BS_PURE_RETAINED_EARNINGS</stp>
        <stp>FQ4 2002</stp>
        <stp>FQ4 2002</stp>
        <stp>[FA1_ivyerigx.xlsx]Bal Sheet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3"/>
      </tp>
      <tp>
        <v>134390</v>
        <stp/>
        <stp>##V3_BDHV12</stp>
        <stp>XOM US Equity</stp>
        <stp>BS_PURE_RETAINED_EARNINGS</stp>
        <stp>FQ4 2004</stp>
        <stp>FQ4 2004</stp>
        <stp>[FA1_ivyerigx.xlsx]Bal Sheet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3"/>
      </tp>
      <tp>
        <v>247111</v>
        <stp/>
        <stp>##V3_BDHV12</stp>
        <stp>XOM US Equity</stp>
        <stp>BS_PURE_RETAINED_EARNINGS</stp>
        <stp>FQ2 2008</stp>
        <stp>FQ2 2008</stp>
        <stp>[FA1_ivyerigx.xlsx]Bal Sheet - Standardized!R44C42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4" s="3"/>
      </tp>
      <tp>
        <v>0.68759999999999999</v>
        <stp/>
        <stp>##V3_BDHV12</stp>
        <stp>XOM US Equity</stp>
        <stp>EBITDA_PER_SH</stp>
        <stp>FQ3 1999</stp>
        <stp>FQ3 1999</stp>
        <stp>[FA1_ivyerigx.xlsx]Per Share!R12C7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G12" s="5"/>
      </tp>
      <tp>
        <v>0.52329999999999999</v>
        <stp/>
        <stp>##V3_BDHV12</stp>
        <stp>XOM US Equity</stp>
        <stp>EBITDA_PER_SH</stp>
        <stp>FQ2 1999</stp>
        <stp>FQ2 1999</stp>
        <stp>[FA1_ivyerigx.xlsx]Per Share!R12C6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F12" s="5"/>
      </tp>
      <tp>
        <v>0.41499999999999998</v>
        <stp/>
        <stp>##V3_BDHV12</stp>
        <stp>XOM US Equity</stp>
        <stp>EBITDA_PER_SH</stp>
        <stp>FQ1 1999</stp>
        <stp>FQ1 1999</stp>
        <stp>[FA1_ivyerigx.xlsx]Per Share!R12C5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E12" s="5"/>
      </tp>
      <tp>
        <v>1.4518</v>
        <stp/>
        <stp>##V3_BDHV12</stp>
        <stp>XOM US Equity</stp>
        <stp>EBITDA_PER_SH</stp>
        <stp>FQ4 1999</stp>
        <stp>FQ4 1999</stp>
        <stp>[FA1_ivyerigx.xlsx]Per Share!R12C8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H12" s="5"/>
      </tp>
      <tp>
        <v>0.64500000000000002</v>
        <stp/>
        <stp>##V3_BDHV12</stp>
        <stp>XOM US Equity</stp>
        <stp>IS_BASIC_EPS_CONT_OPS</stp>
        <stp>FQ4 1999</stp>
        <stp>FQ4 1999</stp>
        <stp>[FA1_ivyerigx.xlsx]Per Share!R16C8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6" s="5"/>
      </tp>
      <tp t="s">
        <v>—</v>
        <stp/>
        <stp>##V3_BDHV12</stp>
        <stp>XOM US Equity</stp>
        <stp>IS_OTHER_OPER_INC</stp>
        <stp>FQ3 2005</stp>
        <stp>FQ3 2005</stp>
        <stp>[FA1_ivyerigx.xlsx]Income - Adjusted!R9C31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9" s="2"/>
      </tp>
      <tp t="s">
        <v>—</v>
        <stp/>
        <stp>##V3_BDHV12</stp>
        <stp>XOM US Equity</stp>
        <stp>IS_OTHER_OPER_INC</stp>
        <stp>FQ2 2005</stp>
        <stp>FQ2 2005</stp>
        <stp>[FA1_ivyerigx.xlsx]Income - Adjusted!R9C30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9" s="2"/>
      </tp>
      <tp t="s">
        <v>—</v>
        <stp/>
        <stp>##V3_BDHV12</stp>
        <stp>XOM US Equity</stp>
        <stp>IS_OTHER_OPER_INC</stp>
        <stp>FQ3 2001</stp>
        <stp>FQ3 2001</stp>
        <stp>[FA1_ivyerigx.xlsx]Income - Adjusted!R9C15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9" s="2"/>
      </tp>
      <tp t="s">
        <v>—</v>
        <stp/>
        <stp>##V3_BDHV12</stp>
        <stp>XOM US Equity</stp>
        <stp>IS_OTHER_OPER_INC</stp>
        <stp>FQ2 2001</stp>
        <stp>FQ2 2001</stp>
        <stp>[FA1_ivyerigx.xlsx]Income - Adjusted!R9C14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9" s="2"/>
      </tp>
      <tp>
        <v>73</v>
        <stp/>
        <stp>##V3_BDHV12</stp>
        <stp>XOM US Equity</stp>
        <stp>BS_MKT_SEC_OTHER_ST_INVEST</stp>
        <stp>FQ4 1999</stp>
        <stp>FQ4 1999</stp>
        <stp>[FA1_ivyerigx.xlsx]Bal Sheet - Standardized!R9C8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9" s="3"/>
      </tp>
      <tp>
        <v>11102</v>
        <stp/>
        <stp>##V3_BDHV12</stp>
        <stp>XOM US Equity</stp>
        <stp>EBITDA</stp>
        <stp>FQ3 2004</stp>
        <stp>FQ3 2004</stp>
        <stp>[FA1_ivyerigx.xlsx]Income - Adjusted!R45C27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5" s="2"/>
      </tp>
      <tp>
        <v>18156</v>
        <stp/>
        <stp>##V3_BDHV12</stp>
        <stp>XOM US Equity</stp>
        <stp>EBITDA</stp>
        <stp>FQ3 2006</stp>
        <stp>FQ3 2006</stp>
        <stp>[FA1_ivyerigx.xlsx]Income - Adjusted!R45C35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5" s="2"/>
      </tp>
      <tp>
        <v>12394</v>
        <stp/>
        <stp>##V3_BDHV12</stp>
        <stp>XOM US Equity</stp>
        <stp>NET_DEBT</stp>
        <stp>FQ1 2000</stp>
        <stp>FQ1 2000</stp>
        <stp>[FA1_ivyerigx.xlsx]Bal Sheet - Standardized!R60C9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60" s="3"/>
      </tp>
      <tp>
        <v>10490</v>
        <stp/>
        <stp>##V3_BDHV12</stp>
        <stp>XOM US Equity</stp>
        <stp>NET_INCOME</stp>
        <stp>FQ3 2006</stp>
        <stp>FQ3 2006</stp>
        <stp>[FA1_ivyerigx.xlsx]Income - Adjusted!R24C35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4" s="2"/>
      </tp>
      <tp>
        <v>5680</v>
        <stp/>
        <stp>##V3_BDHV12</stp>
        <stp>XOM US Equity</stp>
        <stp>NET_INCOME</stp>
        <stp>FQ3 2004</stp>
        <stp>FQ3 2004</stp>
        <stp>[FA1_ivyerigx.xlsx]Income - Adjusted!R24C27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4" s="2"/>
      </tp>
      <tp>
        <v>20</v>
        <stp/>
        <stp>##V3_BDHV12</stp>
        <stp>XOM US Equity</stp>
        <stp>BS_MKT_SEC_OTHER_ST_INVEST</stp>
        <stp>FQ1 1999</stp>
        <stp>FQ1 1999</stp>
        <stp>[FA1_ivyerigx.xlsx]Bal Sheet - Standardized!R9C5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9" s="3"/>
      </tp>
      <tp>
        <v>20</v>
        <stp/>
        <stp>##V3_BDHV12</stp>
        <stp>XOM US Equity</stp>
        <stp>BS_MKT_SEC_OTHER_ST_INVEST</stp>
        <stp>FQ2 1999</stp>
        <stp>FQ2 1999</stp>
        <stp>[FA1_ivyerigx.xlsx]Bal Sheet - Standardized!R9C6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9" s="3"/>
      </tp>
      <tp>
        <v>39</v>
        <stp/>
        <stp>##V3_BDHV12</stp>
        <stp>XOM US Equity</stp>
        <stp>BS_MKT_SEC_OTHER_ST_INVEST</stp>
        <stp>FQ3 1999</stp>
        <stp>FQ3 1999</stp>
        <stp>[FA1_ivyerigx.xlsx]Bal Sheet - Standardized!R9C7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9" s="3"/>
      </tp>
      <tp>
        <v>9293</v>
        <stp/>
        <stp>##V3_BDHV12</stp>
        <stp>XOM US Equity</stp>
        <stp>BS_ACCT_NOTE_RCV</stp>
        <stp>FQ3 1998</stp>
        <stp>FQ3 1998</stp>
        <stp>[FA1_ivyerigx.xlsx]Bal Sheet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9512</v>
        <stp/>
        <stp>##V3_BDHV12</stp>
        <stp>XOM US Equity</stp>
        <stp>BS_ACCT_NOTE_RCV</stp>
        <stp>FQ4 1998</stp>
        <stp>FQ4 1998</stp>
        <stp>[FA1_ivyerigx.xlsx]Bal Sheet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3"/>
      </tp>
      <tp>
        <v>9107</v>
        <stp/>
        <stp>##V3_BDHV12</stp>
        <stp>XOM US Equity</stp>
        <stp>BS_ACCT_NOTE_RCV</stp>
        <stp>FQ2 1999</stp>
        <stp>FQ2 1999</stp>
        <stp>[FA1_ivyerigx.xlsx]Bal Sheet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3"/>
      </tp>
      <tp>
        <v>10778</v>
        <stp/>
        <stp>##V3_BDHV12</stp>
        <stp>XOM US Equity</stp>
        <stp>BS_ACCT_NOTE_RCV</stp>
        <stp>FQ3 1999</stp>
        <stp>FQ3 1999</stp>
        <stp>[FA1_ivyerigx.xlsx]Bal Sheet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3"/>
      </tp>
      <tp>
        <v>9161</v>
        <stp/>
        <stp>##V3_BDHV12</stp>
        <stp>XOM US Equity</stp>
        <stp>BS_ACCT_NOTE_RCV</stp>
        <stp>FQ1 1999</stp>
        <stp>FQ1 1999</stp>
        <stp>[FA1_ivyerigx.xlsx]Bal Sheet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3"/>
      </tp>
      <tp>
        <v>19155</v>
        <stp/>
        <stp>##V3_BDHV12</stp>
        <stp>XOM US Equity</stp>
        <stp>BS_ACCT_NOTE_RCV</stp>
        <stp>FQ4 1999</stp>
        <stp>FQ4 1999</stp>
        <stp>[FA1_ivyerigx.xlsx]Bal Sheet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3"/>
      </tp>
      <tp t="s">
        <v>—</v>
        <stp/>
        <stp>##V3_BDHV12</stp>
        <stp>XOM US Equity</stp>
        <stp>BS_PENSION_RSRV</stp>
        <stp>FQ3 2000</stp>
        <stp>FQ3 2000</stp>
        <stp>[FA1_ivyerigx.xlsx]Bal Sheet - Standardized!R55C11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3"/>
      </tp>
      <tp t="s">
        <v>—</v>
        <stp/>
        <stp>##V3_BDHV12</stp>
        <stp>XOM US Equity</stp>
        <stp>BS_PENSION_RSRV</stp>
        <stp>FQ1 2007</stp>
        <stp>FQ1 2007</stp>
        <stp>[FA1_ivyerigx.xlsx]Bal Sheet - Standardized!R55C37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3"/>
      </tp>
      <tp t="s">
        <v>—</v>
        <stp/>
        <stp>##V3_BDHV12</stp>
        <stp>XOM US Equity</stp>
        <stp>BS_PENSION_RSRV</stp>
        <stp>FQ3 2001</stp>
        <stp>FQ3 2001</stp>
        <stp>[FA1_ivyerigx.xlsx]Bal Sheet - Standardized!R55C15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3"/>
      </tp>
      <tp t="s">
        <v>—</v>
        <stp/>
        <stp>##V3_BDHV12</stp>
        <stp>XOM US Equity</stp>
        <stp>BS_PENSION_RSRV</stp>
        <stp>FQ1 2006</stp>
        <stp>FQ1 2006</stp>
        <stp>[FA1_ivyerigx.xlsx]Bal Sheet - Standardized!R55C33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3"/>
      </tp>
      <tp t="s">
        <v>—</v>
        <stp/>
        <stp>##V3_BDHV12</stp>
        <stp>XOM US Equity</stp>
        <stp>BS_PENSION_RSRV</stp>
        <stp>FQ3 2002</stp>
        <stp>FQ3 2002</stp>
        <stp>[FA1_ivyerigx.xlsx]Bal Sheet - Standardized!R55C19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3"/>
      </tp>
      <tp>
        <v>95718</v>
        <stp/>
        <stp>##V3_BDHV12</stp>
        <stp>XOM US Equity</stp>
        <stp>BS_PURE_RETAINED_EARNINGS</stp>
        <stp>FQ4 2001</stp>
        <stp>FQ4 2001</stp>
        <stp>[FA1_ivyerigx.xlsx]Bal Sheet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3"/>
      </tp>
      <tp>
        <v>86652</v>
        <stp/>
        <stp>##V3_BDHV12</stp>
        <stp>XOM US Equity</stp>
        <stp>BS_PURE_RETAINED_EARNINGS</stp>
        <stp>FQ4 2000</stp>
        <stp>FQ4 2000</stp>
        <stp>[FA1_ivyerigx.xlsx]Bal Sheet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3"/>
      </tp>
      <tp>
        <v>237529</v>
        <stp/>
        <stp>##V3_BDHV12</stp>
        <stp>XOM US Equity</stp>
        <stp>BS_PURE_RETAINED_EARNINGS</stp>
        <stp>FQ1 2008</stp>
        <stp>FQ1 2008</stp>
        <stp>[FA1_ivyerigx.xlsx]Bal Sheet - Standardized!R44C41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4" s="3"/>
      </tp>
      <tp>
        <v>936</v>
        <stp/>
        <stp>##V3_BDHV12</stp>
        <stp>XOM US Equity</stp>
        <stp>PRETAX_INC</stp>
        <stp>FQ1 1999</stp>
        <stp>FQ1 1999</stp>
        <stp>[FA1_ivyerigx.xlsx]Income - Adjusted!R18C5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18" s="2"/>
      </tp>
      <tp>
        <v>1677</v>
        <stp/>
        <stp>##V3_BDHV12</stp>
        <stp>XOM US Equity</stp>
        <stp>PRETAX_INC</stp>
        <stp>FQ2 1999</stp>
        <stp>FQ2 1999</stp>
        <stp>[FA1_ivyerigx.xlsx]Income - Adjusted!R18C6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18" s="2"/>
      </tp>
      <tp>
        <v>2259</v>
        <stp/>
        <stp>##V3_BDHV12</stp>
        <stp>XOM US Equity</stp>
        <stp>PRETAX_INC</stp>
        <stp>FQ3 1999</stp>
        <stp>FQ3 1999</stp>
        <stp>[FA1_ivyerigx.xlsx]Income - Adjusted!R18C7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18" s="2"/>
      </tp>
      <tp t="s">
        <v>—</v>
        <stp/>
        <stp>##V3_BDHV12</stp>
        <stp>XOM US Equity</stp>
        <stp>IS_OTHER_OPER_INC</stp>
        <stp>FQ1 2006</stp>
        <stp>FQ1 2006</stp>
        <stp>[FA1_ivyerigx.xlsx]Income - Adjusted!R9C33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9" s="2"/>
      </tp>
      <tp t="s">
        <v>—</v>
        <stp/>
        <stp>##V3_BDHV12</stp>
        <stp>XOM US Equity</stp>
        <stp>IS_OTHER_OPER_INC</stp>
        <stp>FQ4 2006</stp>
        <stp>FQ4 2006</stp>
        <stp>[FA1_ivyerigx.xlsx]Income - Adjusted!R9C36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9" s="2"/>
      </tp>
      <tp t="s">
        <v>—</v>
        <stp/>
        <stp>##V3_BDHV12</stp>
        <stp>XOM US Equity</stp>
        <stp>IS_OTHER_OPER_INC</stp>
        <stp>FQ1 2002</stp>
        <stp>FQ1 2002</stp>
        <stp>[FA1_ivyerigx.xlsx]Income - Adjusted!R9C17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9" s="2"/>
      </tp>
      <tp>
        <v>7226</v>
        <stp/>
        <stp>##V3_BDHV12</stp>
        <stp>XOM US Equity</stp>
        <stp>EBITDA</stp>
        <stp>FQ3 2003</stp>
        <stp>FQ3 2003</stp>
        <stp>[FA1_ivyerigx.xlsx]Income - Adjusted!R45C23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5" s="2"/>
      </tp>
      <tp>
        <v>8063</v>
        <stp/>
        <stp>##V3_BDHV12</stp>
        <stp>XOM US Equity</stp>
        <stp>EBITDA</stp>
        <stp>FQ2 2000</stp>
        <stp>FQ2 2000</stp>
        <stp>[FA1_ivyerigx.xlsx]Income - Adjusted!R45C10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5" s="2"/>
      </tp>
      <tp>
        <v>16310</v>
        <stp/>
        <stp>##V3_BDHV12</stp>
        <stp>XOM US Equity</stp>
        <stp>EBITDA</stp>
        <stp>FQ1 2007</stp>
        <stp>FQ1 2007</stp>
        <stp>[FA1_ivyerigx.xlsx]Income - Adjusted!R45C37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5" s="2"/>
      </tp>
      <tp>
        <v>16098</v>
        <stp/>
        <stp>##V3_BDHV12</stp>
        <stp>XOM US Equity</stp>
        <stp>EBITDA</stp>
        <stp>FQ4 2006</stp>
        <stp>FQ4 2006</stp>
        <stp>[FA1_ivyerigx.xlsx]Income - Adjusted!R45C36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5" s="2"/>
      </tp>
      <tp>
        <v>19.273900000000001</v>
        <stp/>
        <stp>##V3_BDHV12</stp>
        <stp>XOM US Equity</stp>
        <stp>EBITDA_MARGIN</stp>
        <stp>FQ1 2008</stp>
        <stp>FQ1 2008</stp>
        <stp>[FA1_ivyerigx.xlsx]Cash Flow - Standardized!R43C41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43" s="4"/>
      </tp>
      <tp>
        <v>18.397400000000001</v>
        <stp/>
        <stp>##V3_BDHV12</stp>
        <stp>XOM US Equity</stp>
        <stp>EBITDA_MARGIN</stp>
        <stp>FQ2 2008</stp>
        <stp>FQ2 2008</stp>
        <stp>[FA1_ivyerigx.xlsx]Cash Flow - Standardized!R43C42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43" s="4"/>
      </tp>
      <tp>
        <v>3650</v>
        <stp/>
        <stp>##V3_BDHV12</stp>
        <stp>XOM US Equity</stp>
        <stp>NET_INCOME</stp>
        <stp>FQ3 2003</stp>
        <stp>FQ3 2003</stp>
        <stp>[FA1_ivyerigx.xlsx]Income - Adjusted!R24C23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4" s="2"/>
      </tp>
      <tp>
        <v>4530</v>
        <stp/>
        <stp>##V3_BDHV12</stp>
        <stp>XOM US Equity</stp>
        <stp>NET_INCOME</stp>
        <stp>FQ2 2000</stp>
        <stp>FQ2 2000</stp>
        <stp>[FA1_ivyerigx.xlsx]Income - Adjusted!R24C10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4" s="2"/>
      </tp>
      <tp>
        <v>9280</v>
        <stp/>
        <stp>##V3_BDHV12</stp>
        <stp>XOM US Equity</stp>
        <stp>NET_INCOME</stp>
        <stp>FQ1 2007</stp>
        <stp>FQ1 2007</stp>
        <stp>[FA1_ivyerigx.xlsx]Income - Adjusted!R24C37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4" s="2"/>
      </tp>
      <tp>
        <v>10250</v>
        <stp/>
        <stp>##V3_BDHV12</stp>
        <stp>XOM US Equity</stp>
        <stp>NET_INCOME</stp>
        <stp>FQ4 2006</stp>
        <stp>FQ4 2006</stp>
        <stp>[FA1_ivyerigx.xlsx]Income - Adjusted!R24C36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4" s="2"/>
      </tp>
      <tp>
        <v>17044</v>
        <stp/>
        <stp>##V3_BDHV12</stp>
        <stp>XOM US Equity</stp>
        <stp>PRETAX_INC</stp>
        <stp>FQ3 2007</stp>
        <stp>FQ3 2007</stp>
        <stp>[FA1_ivyerigx.xlsx]Income - Adjusted!R18C39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18" s="2"/>
      </tp>
      <tp>
        <v>0</v>
        <stp/>
        <stp>##V3_BDHV12</stp>
        <stp>XOM US Equity</stp>
        <stp>INVTRY_IN_PROGRESS</stp>
        <stp>FQ4 2006</stp>
        <stp>FQ4 2006</stp>
        <stp>[FA1_ivyerigx.xlsx]Bal Sheet - Standardized!R14C36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4" s="3"/>
      </tp>
      <tp>
        <v>0</v>
        <stp/>
        <stp>##V3_BDHV12</stp>
        <stp>XOM US Equity</stp>
        <stp>INVTRY_IN_PROGRESS</stp>
        <stp>FQ4 2005</stp>
        <stp>FQ4 2005</stp>
        <stp>[FA1_ivyerigx.xlsx]Bal Sheet - Standardized!R14C32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4" s="3"/>
      </tp>
      <tp>
        <v>0</v>
        <stp/>
        <stp>##V3_BDHV12</stp>
        <stp>XOM US Equity</stp>
        <stp>BS_DISCLOSED_INTANGIBLES</stp>
        <stp>FQ1 2000</stp>
        <stp>FQ1 2000</stp>
        <stp>[FA1_ivyerigx.xlsx]Bal Sheet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3"/>
      </tp>
      <tp t="s">
        <v>—</v>
        <stp/>
        <stp>##V3_BDHV12</stp>
        <stp>XOM US Equity</stp>
        <stp>BS_PENSION_RSRV</stp>
        <stp>FQ3 2003</stp>
        <stp>FQ3 2003</stp>
        <stp>[FA1_ivyerigx.xlsx]Bal Sheet - Standardized!R55C23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3"/>
      </tp>
      <tp t="s">
        <v>—</v>
        <stp/>
        <stp>##V3_BDHV12</stp>
        <stp>XOM US Equity</stp>
        <stp>BS_PENSION_RSRV</stp>
        <stp>FQ3 2004</stp>
        <stp>FQ3 2004</stp>
        <stp>[FA1_ivyerigx.xlsx]Bal Sheet - Standardized!R55C27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3"/>
      </tp>
      <tp t="s">
        <v>—</v>
        <stp/>
        <stp>##V3_BDHV12</stp>
        <stp>XOM US Equity</stp>
        <stp>BS_PENSION_RSRV</stp>
        <stp>FQ2 2006</stp>
        <stp>FQ2 2006</stp>
        <stp>[FA1_ivyerigx.xlsx]Bal Sheet - Standardized!R55C34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3"/>
      </tp>
      <tp t="s">
        <v>—</v>
        <stp/>
        <stp>##V3_BDHV12</stp>
        <stp>XOM US Equity</stp>
        <stp>BS_PENSION_RSRV</stp>
        <stp>FQ2 2005</stp>
        <stp>FQ2 2005</stp>
        <stp>[FA1_ivyerigx.xlsx]Bal Sheet - Standardized!R55C30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3"/>
      </tp>
      <tp t="s">
        <v>—</v>
        <stp/>
        <stp>##V3_BDHV12</stp>
        <stp>XOM US Equity</stp>
        <stp>BS_PENSION_RSRV</stp>
        <stp>FQ2 2007</stp>
        <stp>FQ2 2007</stp>
        <stp>[FA1_ivyerigx.xlsx]Bal Sheet - Standardized!R55C38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3"/>
      </tp>
      <tp>
        <v>19412</v>
        <stp/>
        <stp>##V3_BDHV12</stp>
        <stp>XOM US Equity</stp>
        <stp>BS_CUR_LIAB</stp>
        <stp>FQ4 1998</stp>
        <stp>FQ4 1998</stp>
        <stp>[FA1_ivyerigx.xlsx]Bal Sheet - Standardized!R35C4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5" s="3"/>
      </tp>
      <tp>
        <v>18765</v>
        <stp/>
        <stp>##V3_BDHV12</stp>
        <stp>XOM US Equity</stp>
        <stp>BS_CUR_LIAB</stp>
        <stp>FQ3 1998</stp>
        <stp>FQ3 1998</stp>
        <stp>[FA1_ivyerigx.xlsx]Bal Sheet - Standardized!R35C3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5" s="3"/>
      </tp>
      <tp>
        <v>18872</v>
        <stp/>
        <stp>##V3_BDHV12</stp>
        <stp>XOM US Equity</stp>
        <stp>BS_CUR_LIAB</stp>
        <stp>FQ1 1999</stp>
        <stp>FQ1 1999</stp>
        <stp>[FA1_ivyerigx.xlsx]Bal Sheet - Standardized!R35C5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5" s="3"/>
      </tp>
      <tp>
        <v>21579</v>
        <stp/>
        <stp>##V3_BDHV12</stp>
        <stp>XOM US Equity</stp>
        <stp>BS_CUR_LIAB</stp>
        <stp>FQ3 1999</stp>
        <stp>FQ3 1999</stp>
        <stp>[FA1_ivyerigx.xlsx]Bal Sheet - Standardized!R35C7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5" s="3"/>
      </tp>
      <tp>
        <v>19710</v>
        <stp/>
        <stp>##V3_BDHV12</stp>
        <stp>XOM US Equity</stp>
        <stp>BS_CUR_LIAB</stp>
        <stp>FQ2 1999</stp>
        <stp>FQ2 1999</stp>
        <stp>[FA1_ivyerigx.xlsx]Bal Sheet - Standardized!R35C6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5" s="3"/>
      </tp>
      <tp>
        <v>38733</v>
        <stp/>
        <stp>##V3_BDHV12</stp>
        <stp>XOM US Equity</stp>
        <stp>BS_CUR_LIAB</stp>
        <stp>FQ4 1999</stp>
        <stp>FQ4 1999</stp>
        <stp>[FA1_ivyerigx.xlsx]Bal Sheet - Standardized!R35C8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5" s="3"/>
      </tp>
      <tp>
        <v>30936</v>
        <stp/>
        <stp>##V3_BDHV12</stp>
        <stp>XOM US Equity</stp>
        <stp>SALES_REV_TURN</stp>
        <stp>FQ4 1998</stp>
        <stp>FQ4 1998</stp>
        <stp>[FA1_ivyerigx.xlsx]Income - Adjusted!R6C4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2"/>
      </tp>
      <tp>
        <v>109</v>
        <stp/>
        <stp>##V3_BDHV12</stp>
        <stp>XOM US Equity</stp>
        <stp>CF_INCR_CAP_STOCK</stp>
        <stp>FQ1 2000</stp>
        <stp>FQ1 2000</stp>
        <stp>[FA1_ivyerigx.xlsx]Cash Flow - Standardized!R31C9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4"/>
      </tp>
      <tp>
        <v>24859</v>
        <stp/>
        <stp>##V3_BDHV12</stp>
        <stp>XOM US Equity</stp>
        <stp>SALES_REV_TURN</stp>
        <stp>FQ3 1998</stp>
        <stp>FQ3 1998</stp>
        <stp>[FA1_ivyerigx.xlsx]Income - Adjusted!R6C3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2"/>
      </tp>
      <tp>
        <v>3480</v>
        <stp/>
        <stp>##V3_BDHV12</stp>
        <stp>XOM US Equity</stp>
        <stp>NET_INCOME</stp>
        <stp>FQ1 2000</stp>
        <stp>FQ1 2000</stp>
        <stp>[FA1_ivyerigx.xlsx]Income - Adjusted!R24C9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4" s="2"/>
      </tp>
      <tp>
        <v>8080</v>
        <stp/>
        <stp>##V3_BDHV12</stp>
        <stp>XOM US Equity</stp>
        <stp>EBITDA</stp>
        <stp>FQ3 2000</stp>
        <stp>FQ3 2000</stp>
        <stp>[FA1_ivyerigx.xlsx]Income - Adjusted!R45C11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5" s="2"/>
      </tp>
      <tp>
        <v>8089</v>
        <stp/>
        <stp>##V3_BDHV12</stp>
        <stp>XOM US Equity</stp>
        <stp>EBITDA</stp>
        <stp>FQ2 2003</stp>
        <stp>FQ2 2003</stp>
        <stp>[FA1_ivyerigx.xlsx]Income - Adjusted!R45C22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5" s="2"/>
      </tp>
      <tp>
        <v>9995</v>
        <stp/>
        <stp>##V3_BDHV12</stp>
        <stp>XOM US Equity</stp>
        <stp>EBITDA</stp>
        <stp>FQ1 2004</stp>
        <stp>FQ1 2004</stp>
        <stp>[FA1_ivyerigx.xlsx]Income - Adjusted!R45C25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5" s="2"/>
      </tp>
      <tp>
        <v>4490</v>
        <stp/>
        <stp>##V3_BDHV12</stp>
        <stp>XOM US Equity</stp>
        <stp>NET_INCOME</stp>
        <stp>FQ3 2000</stp>
        <stp>FQ3 2000</stp>
        <stp>[FA1_ivyerigx.xlsx]Income - Adjusted!R24C11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4" s="2"/>
      </tp>
      <tp>
        <v>4170</v>
        <stp/>
        <stp>##V3_BDHV12</stp>
        <stp>XOM US Equity</stp>
        <stp>NET_INCOME</stp>
        <stp>FQ2 2003</stp>
        <stp>FQ2 2003</stp>
        <stp>[FA1_ivyerigx.xlsx]Income - Adjusted!R24C22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4" s="2"/>
      </tp>
      <tp>
        <v>5440</v>
        <stp/>
        <stp>##V3_BDHV12</stp>
        <stp>XOM US Equity</stp>
        <stp>NET_INCOME</stp>
        <stp>FQ1 2004</stp>
        <stp>FQ1 2004</stp>
        <stp>[FA1_ivyerigx.xlsx]Income - Adjusted!R24C25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4" s="2"/>
      </tp>
      <tp>
        <v>0</v>
        <stp/>
        <stp>##V3_BDHV12</stp>
        <stp>XOM US Equity</stp>
        <stp>INVTRY_IN_PROGRESS</stp>
        <stp>FQ4 2002</stp>
        <stp>FQ4 2002</stp>
        <stp>[FA1_ivyerigx.xlsx]Bal Sheet - Standardized!R14C20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4" s="3"/>
      </tp>
      <tp>
        <v>18116</v>
        <stp/>
        <stp>##V3_BDHV12</stp>
        <stp>XOM US Equity</stp>
        <stp>PRETAX_INC</stp>
        <stp>FQ2 2007</stp>
        <stp>FQ2 2007</stp>
        <stp>[FA1_ivyerigx.xlsx]Income - Adjusted!R18C38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18" s="2"/>
      </tp>
      <tp>
        <v>0</v>
        <stp/>
        <stp>##V3_BDHV12</stp>
        <stp>XOM US Equity</stp>
        <stp>INVTRY_IN_PROGRESS</stp>
        <stp>FQ4 2003</stp>
        <stp>FQ4 2003</stp>
        <stp>[FA1_ivyerigx.xlsx]Bal Sheet - Standardized!R14C24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4" s="3"/>
      </tp>
      <tp>
        <v>0</v>
        <stp/>
        <stp>##V3_BDHV12</stp>
        <stp>XOM US Equity</stp>
        <stp>INVTRY_IN_PROGRESS</stp>
        <stp>FQ4 2004</stp>
        <stp>FQ4 2004</stp>
        <stp>[FA1_ivyerigx.xlsx]Bal Sheet - Standardized!R14C28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4" s="3"/>
      </tp>
      <tp>
        <v>0</v>
        <stp/>
        <stp>##V3_BDHV12</stp>
        <stp>XOM US Equity</stp>
        <stp>INVTRY_IN_PROGRESS</stp>
        <stp>FQ2 2008</stp>
        <stp>FQ2 2008</stp>
        <stp>[FA1_ivyerigx.xlsx]Bal Sheet - Standardized!R14C42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4" s="3"/>
      </tp>
      <tp t="s">
        <v>—</v>
        <stp/>
        <stp>##V3_BDHV12</stp>
        <stp>XOM US Equity</stp>
        <stp>BS_PENSION_RSRV</stp>
        <stp>FQ1 2001</stp>
        <stp>FQ1 2001</stp>
        <stp>[FA1_ivyerigx.xlsx]Bal Sheet - Standardized!R55C13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3"/>
      </tp>
      <tp t="s">
        <v>—</v>
        <stp/>
        <stp>##V3_BDHV12</stp>
        <stp>XOM US Equity</stp>
        <stp>BS_PENSION_RSRV</stp>
        <stp>FQ2 2003</stp>
        <stp>FQ2 2003</stp>
        <stp>[FA1_ivyerigx.xlsx]Bal Sheet - Standardized!R55C22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3"/>
      </tp>
      <tp>
        <v>13278</v>
        <stp/>
        <stp>##V3_BDHV12</stp>
        <stp>XOM US Equity</stp>
        <stp>BS_PENSION_RSRV</stp>
        <stp>FQ4 2007</stp>
        <stp>FQ4 2007</stp>
        <stp>[FA1_ivyerigx.xlsx]Bal Sheet - Standardized!R55C40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3"/>
      </tp>
      <tp t="s">
        <v>—</v>
        <stp/>
        <stp>##V3_BDHV12</stp>
        <stp>XOM US Equity</stp>
        <stp>BS_PENSION_RSRV</stp>
        <stp>FQ2 2004</stp>
        <stp>FQ2 2004</stp>
        <stp>[FA1_ivyerigx.xlsx]Bal Sheet - Standardized!R55C26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3"/>
      </tp>
      <tp t="s">
        <v>—</v>
        <stp/>
        <stp>##V3_BDHV12</stp>
        <stp>XOM US Equity</stp>
        <stp>BS_PENSION_RSRV</stp>
        <stp>FQ3 2006</stp>
        <stp>FQ3 2006</stp>
        <stp>[FA1_ivyerigx.xlsx]Bal Sheet - Standardized!R55C35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3"/>
      </tp>
      <tp t="s">
        <v>—</v>
        <stp/>
        <stp>##V3_BDHV12</stp>
        <stp>XOM US Equity</stp>
        <stp>BS_PENSION_RSRV</stp>
        <stp>FQ3 2005</stp>
        <stp>FQ3 2005</stp>
        <stp>[FA1_ivyerigx.xlsx]Bal Sheet - Standardized!R55C31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3"/>
      </tp>
      <tp t="s">
        <v>—</v>
        <stp/>
        <stp>##V3_BDHV12</stp>
        <stp>XOM US Equity</stp>
        <stp>BS_PENSION_RSRV</stp>
        <stp>FQ1 2002</stp>
        <stp>FQ1 2002</stp>
        <stp>[FA1_ivyerigx.xlsx]Bal Sheet - Standardized!R55C17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3"/>
      </tp>
      <tp t="s">
        <v>—</v>
        <stp/>
        <stp>##V3_BDHV12</stp>
        <stp>XOM US Equity</stp>
        <stp>BS_PENSION_RSRV</stp>
        <stp>FQ3 2007</stp>
        <stp>FQ3 2007</stp>
        <stp>[FA1_ivyerigx.xlsx]Bal Sheet - Standardized!R55C39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3"/>
      </tp>
      <tp>
        <v>34.330300000000001</v>
        <stp/>
        <stp>##V3_BDHV12</stp>
        <stp>XOM US Equity</stp>
        <stp>GROSS_MARGIN</stp>
        <stp>FQ1 2000</stp>
        <stp>FQ1 2000</stp>
        <stp>[FA1_ivyerigx.xlsx]Income - Adjusted!R49C9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49" s="2"/>
      </tp>
      <tp>
        <v>119754</v>
        <stp/>
        <stp>##V3_BDHV12</stp>
        <stp>XOM US Equity</stp>
        <stp>BS_PURE_RETAINED_EARNINGS</stp>
        <stp>FQ1 2004</stp>
        <stp>FQ1 2004</stp>
        <stp>[FA1_ivyerigx.xlsx]Bal Sheet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3"/>
      </tp>
      <tp>
        <v>80002</v>
        <stp/>
        <stp>##V3_BDHV12</stp>
        <stp>XOM US Equity</stp>
        <stp>BS_PURE_RETAINED_EARNINGS</stp>
        <stp>FQ2 2000</stp>
        <stp>FQ2 2000</stp>
        <stp>[FA1_ivyerigx.xlsx]Bal Sheet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3"/>
      </tp>
      <tp>
        <v>106460</v>
        <stp/>
        <stp>##V3_BDHV12</stp>
        <stp>XOM US Equity</stp>
        <stp>BS_PURE_RETAINED_EARNINGS</stp>
        <stp>FQ1 2003</stp>
        <stp>FQ1 2003</stp>
        <stp>[FA1_ivyerigx.xlsx]Bal Sheet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3"/>
      </tp>
      <tp>
        <v>-256</v>
        <stp/>
        <stp>##V3_BDHV12</stp>
        <stp>XOM US Equity</stp>
        <stp>CF_DECR_CAP_STOCK</stp>
        <stp>FQ4 1999</stp>
        <stp>FQ4 1999</stp>
        <stp>[FA1_ivyerigx.xlsx]Cash Flow - Standardized!R32C8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2" s="4"/>
      </tp>
      <tp>
        <v>93006</v>
        <stp/>
        <stp>##V3_BDHV12</stp>
        <stp>XOM US Equity</stp>
        <stp>BS_PURE_RETAINED_EARNINGS</stp>
        <stp>FQ2 2001</stp>
        <stp>FQ2 2001</stp>
        <stp>[FA1_ivyerigx.xlsx]Bal Sheet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3"/>
      </tp>
      <tp>
        <v>97327</v>
        <stp/>
        <stp>##V3_BDHV12</stp>
        <stp>XOM US Equity</stp>
        <stp>BS_PURE_RETAINED_EARNINGS</stp>
        <stp>FQ2 2002</stp>
        <stp>FQ2 2002</stp>
        <stp>[FA1_ivyerigx.xlsx]Bal Sheet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3"/>
      </tp>
      <tp>
        <v>-243</v>
        <stp/>
        <stp>##V3_BDHV12</stp>
        <stp>XOM US Equity</stp>
        <stp>CF_DECR_CAP_STOCK</stp>
        <stp>FQ2 1999</stp>
        <stp>FQ2 1999</stp>
        <stp>[FA1_ivyerigx.xlsx]Cash Flow - Standardized!R32C6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2" s="4"/>
      </tp>
      <tp>
        <v>-63</v>
        <stp/>
        <stp>##V3_BDHV12</stp>
        <stp>XOM US Equity</stp>
        <stp>CF_DECR_CAP_STOCK</stp>
        <stp>FQ3 1999</stp>
        <stp>FQ3 1999</stp>
        <stp>[FA1_ivyerigx.xlsx]Cash Flow - Standardized!R32C7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2" s="4"/>
      </tp>
      <tp>
        <v>-108</v>
        <stp/>
        <stp>##V3_BDHV12</stp>
        <stp>XOM US Equity</stp>
        <stp>CF_DECR_CAP_STOCK</stp>
        <stp>FQ1 1999</stp>
        <stp>FQ1 1999</stp>
        <stp>[FA1_ivyerigx.xlsx]Cash Flow - Standardized!R32C5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2" s="4"/>
      </tp>
      <tp>
        <v>140522</v>
        <stp/>
        <stp>##V3_BDHV12</stp>
        <stp>XOM US Equity</stp>
        <stp>BS_PURE_RETAINED_EARNINGS</stp>
        <stp>FQ1 2005</stp>
        <stp>FQ1 2005</stp>
        <stp>[FA1_ivyerigx.xlsx]Bal Sheet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3"/>
      </tp>
      <tp>
        <v>-1216</v>
        <stp/>
        <stp>##V3_BDHV12</stp>
        <stp>XOM US Equity</stp>
        <stp>CF_DECR_CAP_STOCK</stp>
        <stp>FQ4 1998</stp>
        <stp>FQ4 1998</stp>
        <stp>[FA1_ivyerigx.xlsx]Cash Flow - Standardized!R32C4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2" s="4"/>
      </tp>
      <tp>
        <v>-583</v>
        <stp/>
        <stp>##V3_BDHV12</stp>
        <stp>XOM US Equity</stp>
        <stp>CF_DECR_CAP_STOCK</stp>
        <stp>FQ3 1998</stp>
        <stp>FQ3 1998</stp>
        <stp>[FA1_ivyerigx.xlsx]Cash Flow - Standardized!R32C3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2" s="4"/>
      </tp>
      <tp t="s">
        <v>—</v>
        <stp/>
        <stp>##V3_BDHV12</stp>
        <stp>XOM US Equity</stp>
        <stp>IS_OTHER_OPER_INC</stp>
        <stp>FQ3 2000</stp>
        <stp>FQ3 2000</stp>
        <stp>[FA1_ivyerigx.xlsx]Income - Adjusted!R9C11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9" s="2"/>
      </tp>
      <tp t="s">
        <v>—</v>
        <stp/>
        <stp>##V3_BDHV12</stp>
        <stp>XOM US Equity</stp>
        <stp>IS_OTHER_OPER_INC</stp>
        <stp>FQ2 2000</stp>
        <stp>FQ2 2000</stp>
        <stp>[FA1_ivyerigx.xlsx]Income - Adjusted!R9C10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9" s="2"/>
      </tp>
      <tp>
        <v>6.6856999999999998</v>
        <stp/>
        <stp>##V3_BDHV12</stp>
        <stp>XOM US Equity</stp>
        <stp>OPER_MARGIN</stp>
        <stp>FQ3 1998</stp>
        <stp>FQ3 1998</stp>
        <stp>[FA1_ivyerigx.xlsx]Income - Adjusted!R50C3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50" s="2"/>
      </tp>
      <tp t="s">
        <v>—</v>
        <stp/>
        <stp>##V3_BDHV12</stp>
        <stp>XOM US Equity</stp>
        <stp>OPER_MARGIN</stp>
        <stp>FQ4 1998</stp>
        <stp>FQ4 1998</stp>
        <stp>[FA1_ivyerigx.xlsx]Income - Adjusted!R50C4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50" s="2"/>
      </tp>
      <tp>
        <v>0</v>
        <stp/>
        <stp>##V3_BDHV12</stp>
        <stp>XOM US Equity</stp>
        <stp>INVTRY_IN_PROGRESS</stp>
        <stp>FQ2 2005</stp>
        <stp>FQ2 2005</stp>
        <stp>[FA1_ivyerigx.xlsx]Bal Sheet - Standardized!R14C30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4" s="3"/>
      </tp>
      <tp>
        <v>0</v>
        <stp/>
        <stp>##V3_BDHV12</stp>
        <stp>XOM US Equity</stp>
        <stp>INVTRY_IN_PROGRESS</stp>
        <stp>FQ3 2003</stp>
        <stp>FQ3 2003</stp>
        <stp>[FA1_ivyerigx.xlsx]Bal Sheet - Standardized!R14C23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4" s="3"/>
      </tp>
      <tp t="s">
        <v>—</v>
        <stp/>
        <stp>##V3_BDHV12</stp>
        <stp>XOM US Equity</stp>
        <stp>INVTRY_IN_PROGRESS</stp>
        <stp>FQ2 2006</stp>
        <stp>FQ2 2006</stp>
        <stp>[FA1_ivyerigx.xlsx]Bal Sheet - Standardized!R14C34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4" s="3"/>
      </tp>
      <tp>
        <v>0</v>
        <stp/>
        <stp>##V3_BDHV12</stp>
        <stp>XOM US Equity</stp>
        <stp>INVTRY_IN_PROGRESS</stp>
        <stp>FQ3 2004</stp>
        <stp>FQ3 2004</stp>
        <stp>[FA1_ivyerigx.xlsx]Bal Sheet - Standardized!R14C27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4" s="3"/>
      </tp>
      <tp>
        <v>0</v>
        <stp/>
        <stp>##V3_BDHV12</stp>
        <stp>XOM US Equity</stp>
        <stp>INVTRY_IN_PROGRESS</stp>
        <stp>FQ2 2007</stp>
        <stp>FQ2 2007</stp>
        <stp>[FA1_ivyerigx.xlsx]Bal Sheet - Standardized!R14C38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4" s="3"/>
      </tp>
      <tp>
        <v>6013</v>
        <stp/>
        <stp>##V3_BDHV12</stp>
        <stp>XOM US Equity</stp>
        <stp>BS_PENSION_RSRV</stp>
        <stp>FQ4 2005</stp>
        <stp>FQ4 2005</stp>
        <stp>[FA1_ivyerigx.xlsx]Bal Sheet - Standardized!R55C32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3"/>
      </tp>
      <tp>
        <v>13931</v>
        <stp/>
        <stp>##V3_BDHV12</stp>
        <stp>XOM US Equity</stp>
        <stp>BS_PENSION_RSRV</stp>
        <stp>FQ4 2006</stp>
        <stp>FQ4 2006</stp>
        <stp>[FA1_ivyerigx.xlsx]Bal Sheet - Standardized!R55C36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3"/>
      </tp>
      <tp>
        <v>202984</v>
        <stp/>
        <stp>##V3_BDHV12</stp>
        <stp>XOM US Equity</stp>
        <stp>BS_PURE_RETAINED_EARNINGS</stp>
        <stp>FQ1 2007</stp>
        <stp>FQ1 2007</stp>
        <stp>[FA1_ivyerigx.xlsx]Bal Sheet - Standardized!R44C37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4" s="3"/>
      </tp>
      <tp>
        <v>82959</v>
        <stp/>
        <stp>##V3_BDHV12</stp>
        <stp>XOM US Equity</stp>
        <stp>BS_PURE_RETAINED_EARNINGS</stp>
        <stp>FQ3 2000</stp>
        <stp>FQ3 2000</stp>
        <stp>[FA1_ivyerigx.xlsx]Bal Sheet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3"/>
      </tp>
      <tp>
        <v>169778</v>
        <stp/>
        <stp>##V3_BDHV12</stp>
        <stp>XOM US Equity</stp>
        <stp>BS_PURE_RETAINED_EARNINGS</stp>
        <stp>FQ1 2006</stp>
        <stp>FQ1 2006</stp>
        <stp>[FA1_ivyerigx.xlsx]Bal Sheet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3"/>
      </tp>
      <tp>
        <v>94609</v>
        <stp/>
        <stp>##V3_BDHV12</stp>
        <stp>XOM US Equity</stp>
        <stp>BS_PURE_RETAINED_EARNINGS</stp>
        <stp>FQ3 2001</stp>
        <stp>FQ3 2001</stp>
        <stp>[FA1_ivyerigx.xlsx]Bal Sheet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3"/>
      </tp>
      <tp>
        <v>98416</v>
        <stp/>
        <stp>##V3_BDHV12</stp>
        <stp>XOM US Equity</stp>
        <stp>BS_PURE_RETAINED_EARNINGS</stp>
        <stp>FQ3 2002</stp>
        <stp>FQ3 2002</stp>
        <stp>[FA1_ivyerigx.xlsx]Bal Sheet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3"/>
      </tp>
      <tp t="s">
        <v>—</v>
        <stp/>
        <stp>##V3_BDHV12</stp>
        <stp>XOM US Equity</stp>
        <stp>IS_NET_ABNORMAL_ITEMS</stp>
        <stp>FQ1 2008</stp>
        <stp>FQ1 2008</stp>
        <stp>[FA1_ivyerigx.xlsx]Income - Adjusted!R30C41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0" s="2"/>
      </tp>
      <tp>
        <v>5362</v>
        <stp/>
        <stp>##V3_BDHV12</stp>
        <stp>XOM US Equity</stp>
        <stp>IS_SH_FOR_DILUTED_EPS</stp>
        <stp>FQ1 2008</stp>
        <stp>FQ1 2008</stp>
        <stp>[FA1_ivyerigx.xlsx]Per Share!R7C41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7" s="5"/>
      </tp>
      <tp>
        <v>5261</v>
        <stp/>
        <stp>##V3_BDHV12</stp>
        <stp>XOM US Equity</stp>
        <stp>IS_SH_FOR_DILUTED_EPS</stp>
        <stp>FQ2 2008</stp>
        <stp>FQ2 2008</stp>
        <stp>[FA1_ivyerigx.xlsx]Per Share!R7C42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7" s="5"/>
      </tp>
      <tp>
        <v>2323</v>
        <stp/>
        <stp>##V3_BDHV12</stp>
        <stp>XOM US Equity</stp>
        <stp>BS_SH_CAP_AND_APIC</stp>
        <stp>FQ4 1998</stp>
        <stp>FQ4 1998</stp>
        <stp>[FA1_ivyerigx.xlsx]Bal Sheet - Standardized!R42C4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2" s="3"/>
      </tp>
      <tp>
        <v>2323</v>
        <stp/>
        <stp>##V3_BDHV12</stp>
        <stp>XOM US Equity</stp>
        <stp>BS_SH_CAP_AND_APIC</stp>
        <stp>FQ3 1998</stp>
        <stp>FQ3 1998</stp>
        <stp>[FA1_ivyerigx.xlsx]Bal Sheet - Standardized!R42C3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2" s="3"/>
      </tp>
      <tp>
        <v>0.48</v>
        <stp/>
        <stp>##V3_BDHV12</stp>
        <stp>XOM US Equity</stp>
        <stp>IS_BASIC_EPS_CONT_OPS</stp>
        <stp>FQ1 2000</stp>
        <stp>FQ1 2000</stp>
        <stp>[FA1_ivyerigx.xlsx]Per Share!R16C9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6" s="5"/>
      </tp>
      <tp>
        <v>2323</v>
        <stp/>
        <stp>##V3_BDHV12</stp>
        <stp>XOM US Equity</stp>
        <stp>BS_SH_CAP_AND_APIC</stp>
        <stp>FQ1 1999</stp>
        <stp>FQ1 1999</stp>
        <stp>[FA1_ivyerigx.xlsx]Bal Sheet - Standardized!R42C5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2" s="3"/>
      </tp>
      <tp>
        <v>2323</v>
        <stp/>
        <stp>##V3_BDHV12</stp>
        <stp>XOM US Equity</stp>
        <stp>BS_SH_CAP_AND_APIC</stp>
        <stp>FQ2 1999</stp>
        <stp>FQ2 1999</stp>
        <stp>[FA1_ivyerigx.xlsx]Bal Sheet - Standardized!R42C6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2" s="3"/>
      </tp>
      <tp>
        <v>2323</v>
        <stp/>
        <stp>##V3_BDHV12</stp>
        <stp>XOM US Equity</stp>
        <stp>BS_SH_CAP_AND_APIC</stp>
        <stp>FQ3 1999</stp>
        <stp>FQ3 1999</stp>
        <stp>[FA1_ivyerigx.xlsx]Bal Sheet - Standardized!R42C7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2" s="3"/>
      </tp>
      <tp>
        <v>6787</v>
        <stp/>
        <stp>##V3_BDHV12</stp>
        <stp>XOM US Equity</stp>
        <stp>IS_SH_FOR_DILUTED_EPS</stp>
        <stp>FQ3 2002</stp>
        <stp>FQ3 2002</stp>
        <stp>[FA1_ivyerigx.xlsx]Per Share!R7C19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7" s="5"/>
      </tp>
      <tp>
        <v>6831</v>
        <stp/>
        <stp>##V3_BDHV12</stp>
        <stp>XOM US Equity</stp>
        <stp>IS_SH_FOR_DILUTED_EPS</stp>
        <stp>FQ2 2002</stp>
        <stp>FQ2 2002</stp>
        <stp>[FA1_ivyerigx.xlsx]Per Share!R7C18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7" s="5"/>
      </tp>
      <tp>
        <v>6461</v>
        <stp/>
        <stp>##V3_BDHV12</stp>
        <stp>XOM US Equity</stp>
        <stp>IS_SH_FOR_DILUTED_EPS</stp>
        <stp>FQ4 2004</stp>
        <stp>FQ4 2004</stp>
        <stp>[FA1_ivyerigx.xlsx]Per Share!R7C28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7" s="5"/>
      </tp>
      <tp>
        <v>3403</v>
        <stp/>
        <stp>##V3_BDHV12</stp>
        <stp>XOM US Equity</stp>
        <stp>BS_SH_CAP_AND_APIC</stp>
        <stp>FQ4 1999</stp>
        <stp>FQ4 1999</stp>
        <stp>[FA1_ivyerigx.xlsx]Bal Sheet - Standardized!R42C8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2" s="3"/>
      </tp>
      <tp t="s">
        <v>—</v>
        <stp/>
        <stp>##V3_BDHV12</stp>
        <stp>XOM US Equity</stp>
        <stp>IS_OTHER_OPER_INC</stp>
        <stp>FQ4 2007</stp>
        <stp>FQ4 2007</stp>
        <stp>[FA1_ivyerigx.xlsx]Income - Adjusted!R9C40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9" s="2"/>
      </tp>
      <tp>
        <v>6411</v>
        <stp/>
        <stp>##V3_BDHV12</stp>
        <stp>XOM US Equity</stp>
        <stp>IS_AVG_NUM_SH_FOR_EPS</stp>
        <stp>FQ4 2004</stp>
        <stp>FQ4 2004</stp>
        <stp>[FA1_ivyerigx.xlsx]Per Share!R8C28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8" s="5"/>
      </tp>
      <tp t="s">
        <v>—</v>
        <stp/>
        <stp>##V3_BDHV12</stp>
        <stp>XOM US Equity</stp>
        <stp>IS_OTHER_OPER_INC</stp>
        <stp>FQ4 2005</stp>
        <stp>FQ4 2005</stp>
        <stp>[FA1_ivyerigx.xlsx]Income - Adjusted!R9C32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9" s="2"/>
      </tp>
      <tp t="s">
        <v>—</v>
        <stp/>
        <stp>##V3_BDHV12</stp>
        <stp>XOM US Equity</stp>
        <stp>IS_OTHER_OPER_INC</stp>
        <stp>FQ2 2003</stp>
        <stp>FQ2 2003</stp>
        <stp>[FA1_ivyerigx.xlsx]Income - Adjusted!R9C22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9" s="2"/>
      </tp>
      <tp t="s">
        <v>—</v>
        <stp/>
        <stp>##V3_BDHV12</stp>
        <stp>XOM US Equity</stp>
        <stp>IS_OTHER_OPER_INC</stp>
        <stp>FQ3 2003</stp>
        <stp>FQ3 2003</stp>
        <stp>[FA1_ivyerigx.xlsx]Income - Adjusted!R9C23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9" s="2"/>
      </tp>
      <tp t="s">
        <v>—</v>
        <stp/>
        <stp>##V3_BDHV12</stp>
        <stp>XOM US Equity</stp>
        <stp>IS_OTHER_OPER_INC</stp>
        <stp>FQ1 2003</stp>
        <stp>FQ1 2003</stp>
        <stp>[FA1_ivyerigx.xlsx]Income - Adjusted!R9C21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9" s="2"/>
      </tp>
      <tp t="s">
        <v>—</v>
        <stp/>
        <stp>##V3_BDHV12</stp>
        <stp>XOM US Equity</stp>
        <stp>IS_OTHER_OPER_INC</stp>
        <stp>FQ4 2003</stp>
        <stp>FQ4 2003</stp>
        <stp>[FA1_ivyerigx.xlsx]Income - Adjusted!R9C24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9" s="2"/>
      </tp>
      <tp t="s">
        <v>—</v>
        <stp/>
        <stp>##V3_BDHV12</stp>
        <stp>XOM US Equity</stp>
        <stp>IS_OTHER_OPER_INC</stp>
        <stp>FQ1 2001</stp>
        <stp>FQ1 2001</stp>
        <stp>[FA1_ivyerigx.xlsx]Income - Adjusted!R9C13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9" s="2"/>
      </tp>
      <tp t="s">
        <v>—</v>
        <stp/>
        <stp>##V3_BDHV12</stp>
        <stp>XOM US Equity</stp>
        <stp>IS_OTHER_OPER_INC</stp>
        <stp>FQ4 2001</stp>
        <stp>FQ4 2001</stp>
        <stp>[FA1_ivyerigx.xlsx]Income - Adjusted!R9C16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9" s="2"/>
      </tp>
      <tp>
        <v>6767</v>
        <stp/>
        <stp>##V3_BDHV12</stp>
        <stp>XOM US Equity</stp>
        <stp>IS_AVG_NUM_SH_FOR_EPS</stp>
        <stp>FQ2 2002</stp>
        <stp>FQ2 2002</stp>
        <stp>[FA1_ivyerigx.xlsx]Per Share!R8C18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8" s="5"/>
      </tp>
      <tp>
        <v>6740</v>
        <stp/>
        <stp>##V3_BDHV12</stp>
        <stp>XOM US Equity</stp>
        <stp>IS_AVG_NUM_SH_FOR_EPS</stp>
        <stp>FQ3 2002</stp>
        <stp>FQ3 2002</stp>
        <stp>[FA1_ivyerigx.xlsx]Per Share!R8C19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8" s="5"/>
      </tp>
      <tp>
        <v>6.9619</v>
        <stp/>
        <stp>##V3_BDHV12</stp>
        <stp>XOM US Equity</stp>
        <stp>OPER_MARGIN</stp>
        <stp>FQ3 1999</stp>
        <stp>FQ3 1999</stp>
        <stp>[FA1_ivyerigx.xlsx]Income - Adjusted!R50C7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50" s="2"/>
      </tp>
      <tp>
        <v>4.7202999999999999</v>
        <stp/>
        <stp>##V3_BDHV12</stp>
        <stp>XOM US Equity</stp>
        <stp>OPER_MARGIN</stp>
        <stp>FQ2 1999</stp>
        <stp>FQ2 1999</stp>
        <stp>[FA1_ivyerigx.xlsx]Income - Adjusted!R50C6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50" s="2"/>
      </tp>
      <tp>
        <v>2.1189999999999998</v>
        <stp/>
        <stp>##V3_BDHV12</stp>
        <stp>XOM US Equity</stp>
        <stp>OPER_MARGIN</stp>
        <stp>FQ1 1999</stp>
        <stp>FQ1 1999</stp>
        <stp>[FA1_ivyerigx.xlsx]Income - Adjusted!R50C5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50" s="2"/>
      </tp>
      <tp>
        <v>7.0773000000000001</v>
        <stp/>
        <stp>##V3_BDHV12</stp>
        <stp>XOM US Equity</stp>
        <stp>OPER_MARGIN</stp>
        <stp>FQ4 1999</stp>
        <stp>FQ4 1999</stp>
        <stp>[FA1_ivyerigx.xlsx]Income - Adjusted!R50C8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50" s="2"/>
      </tp>
      <tp>
        <v>5201</v>
        <stp/>
        <stp>##V3_BDHV12</stp>
        <stp>XOM US Equity</stp>
        <stp>IS_AVG_NUM_SH_FOR_EPS</stp>
        <stp>FQ2 2008</stp>
        <stp>FQ2 2008</stp>
        <stp>[FA1_ivyerigx.xlsx]Per Share!R8C42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8" s="5"/>
      </tp>
      <tp>
        <v>5301</v>
        <stp/>
        <stp>##V3_BDHV12</stp>
        <stp>XOM US Equity</stp>
        <stp>IS_AVG_NUM_SH_FOR_EPS</stp>
        <stp>FQ1 2008</stp>
        <stp>FQ1 2008</stp>
        <stp>[FA1_ivyerigx.xlsx]Per Share!R8C41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8" s="5"/>
      </tp>
      <tp>
        <v>4814</v>
        <stp/>
        <stp>##V3_BDHV12</stp>
        <stp>XOM US Equity</stp>
        <stp>EBITDA</stp>
        <stp>FQ4 2001</stp>
        <stp>FQ4 2001</stp>
        <stp>[FA1_ivyerigx.xlsx]Income - Adjusted!R45C16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5" s="2"/>
      </tp>
      <tp>
        <v>8032</v>
        <stp/>
        <stp>##V3_BDHV12</stp>
        <stp>XOM US Equity</stp>
        <stp>EBITDA</stp>
        <stp>FQ4 2003</stp>
        <stp>FQ4 2003</stp>
        <stp>[FA1_ivyerigx.xlsx]Income - Adjusted!R45C24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5" s="2"/>
      </tp>
      <tp>
        <v>18611</v>
        <stp/>
        <stp>##V3_BDHV12</stp>
        <stp>XOM US Equity</stp>
        <stp>EBITDA</stp>
        <stp>FQ4 2007</stp>
        <stp>FQ4 2007</stp>
        <stp>[FA1_ivyerigx.xlsx]Income - Adjusted!R45C40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5" s="2"/>
      </tp>
      <tp>
        <v>17626</v>
        <stp/>
        <stp>##V3_BDHV12</stp>
        <stp>XOM US Equity</stp>
        <stp>EBITDA</stp>
        <stp>FQ4 2005</stp>
        <stp>FQ4 2005</stp>
        <stp>[FA1_ivyerigx.xlsx]Income - Adjusted!R45C32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5" s="2"/>
      </tp>
      <tp>
        <v>10710</v>
        <stp/>
        <stp>##V3_BDHV12</stp>
        <stp>XOM US Equity</stp>
        <stp>NET_INCOME</stp>
        <stp>FQ4 2005</stp>
        <stp>FQ4 2005</stp>
        <stp>[FA1_ivyerigx.xlsx]Income - Adjusted!R24C32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4" s="2"/>
      </tp>
      <tp>
        <v>11660</v>
        <stp/>
        <stp>##V3_BDHV12</stp>
        <stp>XOM US Equity</stp>
        <stp>NET_INCOME</stp>
        <stp>FQ4 2007</stp>
        <stp>FQ4 2007</stp>
        <stp>[FA1_ivyerigx.xlsx]Income - Adjusted!R24C40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4" s="2"/>
      </tp>
      <tp>
        <v>6650</v>
        <stp/>
        <stp>##V3_BDHV12</stp>
        <stp>XOM US Equity</stp>
        <stp>NET_INCOME</stp>
        <stp>FQ4 2003</stp>
        <stp>FQ4 2003</stp>
        <stp>[FA1_ivyerigx.xlsx]Income - Adjusted!R24C24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4" s="2"/>
      </tp>
      <tp>
        <v>2680</v>
        <stp/>
        <stp>##V3_BDHV12</stp>
        <stp>XOM US Equity</stp>
        <stp>NET_INCOME</stp>
        <stp>FQ4 2001</stp>
        <stp>FQ4 2001</stp>
        <stp>[FA1_ivyerigx.xlsx]Income - Adjusted!R24C16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4" s="2"/>
      </tp>
      <tp>
        <v>0</v>
        <stp/>
        <stp>##V3_BDHV12</stp>
        <stp>XOM US Equity</stp>
        <stp>INVTRY_IN_PROGRESS</stp>
        <stp>FQ3 2005</stp>
        <stp>FQ3 2005</stp>
        <stp>[FA1_ivyerigx.xlsx]Bal Sheet - Standardized!R14C31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4" s="3"/>
      </tp>
      <tp>
        <v>20474</v>
        <stp/>
        <stp>##V3_BDHV12</stp>
        <stp>XOM US Equity</stp>
        <stp>PRETAX_INC</stp>
        <stp>FQ1 2008</stp>
        <stp>FQ1 2008</stp>
        <stp>[FA1_ivyerigx.xlsx]Income - Adjusted!R18C41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18" s="2"/>
      </tp>
      <tp>
        <v>0</v>
        <stp/>
        <stp>##V3_BDHV12</stp>
        <stp>XOM US Equity</stp>
        <stp>INVTRY_IN_PROGRESS</stp>
        <stp>FQ1 2002</stp>
        <stp>FQ1 2002</stp>
        <stp>[FA1_ivyerigx.xlsx]Bal Sheet - Standardized!R14C17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4" s="3"/>
      </tp>
      <tp>
        <v>0</v>
        <stp/>
        <stp>##V3_BDHV12</stp>
        <stp>XOM US Equity</stp>
        <stp>INVTRY_IN_PROGRESS</stp>
        <stp>FQ2 2003</stp>
        <stp>FQ2 2003</stp>
        <stp>[FA1_ivyerigx.xlsx]Bal Sheet - Standardized!R14C22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4" s="3"/>
      </tp>
      <tp>
        <v>0</v>
        <stp/>
        <stp>##V3_BDHV12</stp>
        <stp>XOM US Equity</stp>
        <stp>INVTRY_IN_PROGRESS</stp>
        <stp>FQ1 2001</stp>
        <stp>FQ1 2001</stp>
        <stp>[FA1_ivyerigx.xlsx]Bal Sheet - Standardized!R14C13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4" s="3"/>
      </tp>
      <tp>
        <v>0</v>
        <stp/>
        <stp>##V3_BDHV12</stp>
        <stp>XOM US Equity</stp>
        <stp>INVTRY_IN_PROGRESS</stp>
        <stp>FQ4 2007</stp>
        <stp>FQ4 2007</stp>
        <stp>[FA1_ivyerigx.xlsx]Bal Sheet - Standardized!R14C40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4" s="3"/>
      </tp>
      <tp t="s">
        <v>—</v>
        <stp/>
        <stp>##V3_BDHV12</stp>
        <stp>XOM US Equity</stp>
        <stp>INVTRY_IN_PROGRESS</stp>
        <stp>FQ3 2006</stp>
        <stp>FQ3 2006</stp>
        <stp>[FA1_ivyerigx.xlsx]Bal Sheet - Standardized!R14C35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4" s="3"/>
      </tp>
      <tp>
        <v>0</v>
        <stp/>
        <stp>##V3_BDHV12</stp>
        <stp>XOM US Equity</stp>
        <stp>INVTRY_IN_PROGRESS</stp>
        <stp>FQ2 2004</stp>
        <stp>FQ2 2004</stp>
        <stp>[FA1_ivyerigx.xlsx]Bal Sheet - Standardized!R14C26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4" s="3"/>
      </tp>
      <tp>
        <v>0</v>
        <stp/>
        <stp>##V3_BDHV12</stp>
        <stp>XOM US Equity</stp>
        <stp>INVTRY_IN_PROGRESS</stp>
        <stp>FQ3 2007</stp>
        <stp>FQ3 2007</stp>
        <stp>[FA1_ivyerigx.xlsx]Bal Sheet - Standardized!R14C39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4" s="3"/>
      </tp>
      <tp>
        <v>4862</v>
        <stp/>
        <stp>##V3_BDHV12</stp>
        <stp>XOM US Equity</stp>
        <stp>BS_PENSION_RSRV</stp>
        <stp>FQ4 2003</stp>
        <stp>FQ4 2003</stp>
        <stp>[FA1_ivyerigx.xlsx]Bal Sheet - Standardized!R55C24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3"/>
      </tp>
      <tp t="s">
        <v>—</v>
        <stp/>
        <stp>##V3_BDHV12</stp>
        <stp>XOM US Equity</stp>
        <stp>BS_PENSION_RSRV</stp>
        <stp>FQ4 2002</stp>
        <stp>FQ4 2002</stp>
        <stp>[FA1_ivyerigx.xlsx]Bal Sheet - Standardized!R55C20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3"/>
      </tp>
      <tp>
        <v>6000</v>
        <stp/>
        <stp>##V3_BDHV12</stp>
        <stp>XOM US Equity</stp>
        <stp>BS_PENSION_RSRV</stp>
        <stp>FQ4 2004</stp>
        <stp>FQ4 2004</stp>
        <stp>[FA1_ivyerigx.xlsx]Bal Sheet - Standardized!R55C28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3"/>
      </tp>
      <tp t="s">
        <v>—</v>
        <stp/>
        <stp>##V3_BDHV12</stp>
        <stp>XOM US Equity</stp>
        <stp>BS_PENSION_RSRV</stp>
        <stp>FQ2 2008</stp>
        <stp>FQ2 2008</stp>
        <stp>[FA1_ivyerigx.xlsx]Bal Sheet - Standardized!R55C42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3"/>
      </tp>
      <tp>
        <v>19.273900000000001</v>
        <stp/>
        <stp>##V3_BDHV12</stp>
        <stp>XOM US Equity</stp>
        <stp>EBITDA_MARGIN</stp>
        <stp>FQ1 2008</stp>
        <stp>FQ1 2008</stp>
        <stp>[FA1_ivyerigx.xlsx]Income - Adjusted!R46C41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46" s="2"/>
      </tp>
      <tp>
        <v>20.664000000000001</v>
        <stp/>
        <stp>##V3_BDHV12</stp>
        <stp>XOM US Equity</stp>
        <stp>EBITDA_MARGIN</stp>
        <stp>FQ1 2007</stp>
        <stp>FQ1 2007</stp>
        <stp>[FA1_ivyerigx.xlsx]Income - Adjusted!R46C37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46" s="2"/>
      </tp>
      <tp>
        <v>18.531300000000002</v>
        <stp/>
        <stp>##V3_BDHV12</stp>
        <stp>XOM US Equity</stp>
        <stp>EBITDA_MARGIN</stp>
        <stp>FQ1 2006</stp>
        <stp>FQ1 2006</stp>
        <stp>[FA1_ivyerigx.xlsx]Income - Adjusted!R46C33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46" s="2"/>
      </tp>
      <tp>
        <v>15.2605</v>
        <stp/>
        <stp>##V3_BDHV12</stp>
        <stp>XOM US Equity</stp>
        <stp>EBITDA_MARGIN</stp>
        <stp>FQ1 2004</stp>
        <stp>FQ1 2004</stp>
        <stp>[FA1_ivyerigx.xlsx]Income - Adjusted!R46C25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46" s="2"/>
      </tp>
      <tp>
        <v>17.598800000000001</v>
        <stp/>
        <stp>##V3_BDHV12</stp>
        <stp>XOM US Equity</stp>
        <stp>EBITDA_MARGIN</stp>
        <stp>FQ1 2005</stp>
        <stp>FQ1 2005</stp>
        <stp>[FA1_ivyerigx.xlsx]Income - Adjusted!R46C29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46" s="2"/>
      </tp>
      <tp>
        <v>16.896999999999998</v>
        <stp/>
        <stp>##V3_BDHV12</stp>
        <stp>XOM US Equity</stp>
        <stp>EBITDA_MARGIN</stp>
        <stp>FQ1 2001</stp>
        <stp>FQ1 2001</stp>
        <stp>[FA1_ivyerigx.xlsx]Income - Adjusted!R46C13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46" s="2"/>
      </tp>
      <tp>
        <v>13.558999999999999</v>
        <stp/>
        <stp>##V3_BDHV12</stp>
        <stp>XOM US Equity</stp>
        <stp>EBITDA_MARGIN</stp>
        <stp>FQ1 2003</stp>
        <stp>FQ1 2003</stp>
        <stp>[FA1_ivyerigx.xlsx]Income - Adjusted!R46C21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46" s="2"/>
      </tp>
      <tp>
        <v>14.2171</v>
        <stp/>
        <stp>##V3_BDHV12</stp>
        <stp>XOM US Equity</stp>
        <stp>EBITDA_MARGIN</stp>
        <stp>FQ1 2002</stp>
        <stp>FQ1 2002</stp>
        <stp>[FA1_ivyerigx.xlsx]Income - Adjusted!R46C17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46" s="2"/>
      </tp>
      <tp>
        <v>16.137799999999999</v>
        <stp/>
        <stp>##V3_BDHV12</stp>
        <stp>XOM US Equity</stp>
        <stp>EBITDA_MARGIN</stp>
        <stp>FQ3 2004</stp>
        <stp>FQ3 2004</stp>
        <stp>[FA1_ivyerigx.xlsx]Income - Adjusted!R46C27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46" s="2"/>
      </tp>
      <tp>
        <v>17.728400000000001</v>
        <stp/>
        <stp>##V3_BDHV12</stp>
        <stp>XOM US Equity</stp>
        <stp>EBITDA_MARGIN</stp>
        <stp>FQ3 2005</stp>
        <stp>FQ3 2005</stp>
        <stp>[FA1_ivyerigx.xlsx]Income - Adjusted!R46C31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46" s="2"/>
      </tp>
      <tp>
        <v>20.092099999999999</v>
        <stp/>
        <stp>##V3_BDHV12</stp>
        <stp>XOM US Equity</stp>
        <stp>EBITDA_MARGIN</stp>
        <stp>FQ3 2007</stp>
        <stp>FQ3 2007</stp>
        <stp>[FA1_ivyerigx.xlsx]Income - Adjusted!R46C39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46" s="2"/>
      </tp>
      <tp>
        <v>20.3581</v>
        <stp/>
        <stp>##V3_BDHV12</stp>
        <stp>XOM US Equity</stp>
        <stp>EBITDA_MARGIN</stp>
        <stp>FQ3 2006</stp>
        <stp>FQ3 2006</stp>
        <stp>[FA1_ivyerigx.xlsx]Income - Adjusted!R46C35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46" s="2"/>
      </tp>
      <tp>
        <v>12.821199999999999</v>
        <stp/>
        <stp>##V3_BDHV12</stp>
        <stp>XOM US Equity</stp>
        <stp>EBITDA_MARGIN</stp>
        <stp>FQ3 2002</stp>
        <stp>FQ3 2002</stp>
        <stp>[FA1_ivyerigx.xlsx]Income - Adjusted!R46C19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46" s="2"/>
      </tp>
      <tp>
        <v>16.605</v>
        <stp/>
        <stp>##V3_BDHV12</stp>
        <stp>XOM US Equity</stp>
        <stp>EBITDA_MARGIN</stp>
        <stp>FQ3 2001</stp>
        <stp>FQ3 2001</stp>
        <stp>[FA1_ivyerigx.xlsx]Income - Adjusted!R46C15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46" s="2"/>
      </tp>
      <tp>
        <v>14.57</v>
        <stp/>
        <stp>##V3_BDHV12</stp>
        <stp>XOM US Equity</stp>
        <stp>EBITDA_MARGIN</stp>
        <stp>FQ3 2003</stp>
        <stp>FQ3 2003</stp>
        <stp>[FA1_ivyerigx.xlsx]Income - Adjusted!R46C23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46" s="2"/>
      </tp>
      <tp>
        <v>14.3893</v>
        <stp/>
        <stp>##V3_BDHV12</stp>
        <stp>XOM US Equity</stp>
        <stp>EBITDA_MARGIN</stp>
        <stp>FQ3 2000</stp>
        <stp>FQ3 2000</stp>
        <stp>[FA1_ivyerigx.xlsx]Income - Adjusted!R46C11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46" s="2"/>
      </tp>
      <tp>
        <v>18.397400000000001</v>
        <stp/>
        <stp>##V3_BDHV12</stp>
        <stp>XOM US Equity</stp>
        <stp>EBITDA_MARGIN</stp>
        <stp>FQ2 2008</stp>
        <stp>FQ2 2008</stp>
        <stp>[FA1_ivyerigx.xlsx]Income - Adjusted!R46C42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46" s="2"/>
      </tp>
      <tp>
        <v>15.504</v>
        <stp/>
        <stp>##V3_BDHV12</stp>
        <stp>XOM US Equity</stp>
        <stp>EBITDA_MARGIN</stp>
        <stp>FQ2 2004</stp>
        <stp>FQ2 2004</stp>
        <stp>[FA1_ivyerigx.xlsx]Income - Adjusted!R46C26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46" s="2"/>
      </tp>
      <tp>
        <v>17.713699999999999</v>
        <stp/>
        <stp>##V3_BDHV12</stp>
        <stp>XOM US Equity</stp>
        <stp>EBITDA_MARGIN</stp>
        <stp>FQ2 2005</stp>
        <stp>FQ2 2005</stp>
        <stp>[FA1_ivyerigx.xlsx]Income - Adjusted!R46C30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46" s="2"/>
      </tp>
      <tp>
        <v>19.3843</v>
        <stp/>
        <stp>##V3_BDHV12</stp>
        <stp>XOM US Equity</stp>
        <stp>EBITDA_MARGIN</stp>
        <stp>FQ2 2006</stp>
        <stp>FQ2 2006</stp>
        <stp>[FA1_ivyerigx.xlsx]Income - Adjusted!R46C34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46" s="2"/>
      </tp>
      <tp>
        <v>20.5792</v>
        <stp/>
        <stp>##V3_BDHV12</stp>
        <stp>XOM US Equity</stp>
        <stp>EBITDA_MARGIN</stp>
        <stp>FQ2 2007</stp>
        <stp>FQ2 2007</stp>
        <stp>[FA1_ivyerigx.xlsx]Income - Adjusted!R46C38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46" s="2"/>
      </tp>
      <tp>
        <v>13.255800000000001</v>
        <stp/>
        <stp>##V3_BDHV12</stp>
        <stp>XOM US Equity</stp>
        <stp>EBITDA_MARGIN</stp>
        <stp>FQ2 2002</stp>
        <stp>FQ2 2002</stp>
        <stp>[FA1_ivyerigx.xlsx]Income - Adjusted!R46C18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46" s="2"/>
      </tp>
      <tp>
        <v>13.663499999999999</v>
        <stp/>
        <stp>##V3_BDHV12</stp>
        <stp>XOM US Equity</stp>
        <stp>EBITDA_MARGIN</stp>
        <stp>FQ2 2000</stp>
        <stp>FQ2 2000</stp>
        <stp>[FA1_ivyerigx.xlsx]Income - Adjusted!R46C10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46" s="2"/>
      </tp>
      <tp>
        <v>14.3774</v>
        <stp/>
        <stp>##V3_BDHV12</stp>
        <stp>XOM US Equity</stp>
        <stp>EBITDA_MARGIN</stp>
        <stp>FQ2 2003</stp>
        <stp>FQ2 2003</stp>
        <stp>[FA1_ivyerigx.xlsx]Income - Adjusted!R46C22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46" s="2"/>
      </tp>
      <tp>
        <v>16.825399999999998</v>
        <stp/>
        <stp>##V3_BDHV12</stp>
        <stp>XOM US Equity</stp>
        <stp>EBITDA_MARGIN</stp>
        <stp>FQ2 2001</stp>
        <stp>FQ2 2001</stp>
        <stp>[FA1_ivyerigx.xlsx]Income - Adjusted!R46C14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46" s="2"/>
      </tp>
      <tp>
        <v>16.1629</v>
        <stp/>
        <stp>##V3_BDHV12</stp>
        <stp>XOM US Equity</stp>
        <stp>EBITDA_MARGIN</stp>
        <stp>FQ4 2000</stp>
        <stp>FQ4 2000</stp>
        <stp>[FA1_ivyerigx.xlsx]Income - Adjusted!R46C12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46" s="2"/>
      </tp>
      <tp>
        <v>15.1173</v>
        <stp/>
        <stp>##V3_BDHV12</stp>
        <stp>XOM US Equity</stp>
        <stp>EBITDA_MARGIN</stp>
        <stp>FQ4 2003</stp>
        <stp>FQ4 2003</stp>
        <stp>[FA1_ivyerigx.xlsx]Income - Adjusted!R46C24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46" s="2"/>
      </tp>
      <tp>
        <v>12.533300000000001</v>
        <stp/>
        <stp>##V3_BDHV12</stp>
        <stp>XOM US Equity</stp>
        <stp>EBITDA_MARGIN</stp>
        <stp>FQ4 2002</stp>
        <stp>FQ4 2002</stp>
        <stp>[FA1_ivyerigx.xlsx]Income - Adjusted!R46C20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46" s="2"/>
      </tp>
      <tp>
        <v>15.3261</v>
        <stp/>
        <stp>##V3_BDHV12</stp>
        <stp>XOM US Equity</stp>
        <stp>EBITDA_MARGIN</stp>
        <stp>FQ4 2001</stp>
        <stp>FQ4 2001</stp>
        <stp>[FA1_ivyerigx.xlsx]Income - Adjusted!R46C16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46" s="2"/>
      </tp>
      <tp>
        <v>19.4939</v>
        <stp/>
        <stp>##V3_BDHV12</stp>
        <stp>XOM US Equity</stp>
        <stp>EBITDA_MARGIN</stp>
        <stp>FQ4 2007</stp>
        <stp>FQ4 2007</stp>
        <stp>[FA1_ivyerigx.xlsx]Income - Adjusted!R46C40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46" s="2"/>
      </tp>
      <tp>
        <v>20.3992</v>
        <stp/>
        <stp>##V3_BDHV12</stp>
        <stp>XOM US Equity</stp>
        <stp>EBITDA_MARGIN</stp>
        <stp>FQ4 2006</stp>
        <stp>FQ4 2006</stp>
        <stp>[FA1_ivyerigx.xlsx]Income - Adjusted!R46C36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46" s="2"/>
      </tp>
      <tp>
        <v>17.2882</v>
        <stp/>
        <stp>##V3_BDHV12</stp>
        <stp>XOM US Equity</stp>
        <stp>EBITDA_MARGIN</stp>
        <stp>FQ4 2004</stp>
        <stp>FQ4 2004</stp>
        <stp>[FA1_ivyerigx.xlsx]Income - Adjusted!R46C28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46" s="2"/>
      </tp>
      <tp>
        <v>18.053799999999999</v>
        <stp/>
        <stp>##V3_BDHV12</stp>
        <stp>XOM US Equity</stp>
        <stp>EBITDA_MARGIN</stp>
        <stp>FQ4 2005</stp>
        <stp>FQ4 2005</stp>
        <stp>[FA1_ivyerigx.xlsx]Income - Adjusted!R46C32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46" s="2"/>
      </tp>
      <tp>
        <v>127708</v>
        <stp/>
        <stp>##V3_BDHV12</stp>
        <stp>XOM US Equity</stp>
        <stp>BS_PURE_RETAINED_EARNINGS</stp>
        <stp>FQ3 2004</stp>
        <stp>FQ3 2004</stp>
        <stp>[FA1_ivyerigx.xlsx]Bal Sheet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3"/>
      </tp>
      <tp>
        <v>178212</v>
        <stp/>
        <stp>##V3_BDHV12</stp>
        <stp>XOM US Equity</stp>
        <stp>BS_PURE_RETAINED_EARNINGS</stp>
        <stp>FQ2 2006</stp>
        <stp>FQ2 2006</stp>
        <stp>[FA1_ivyerigx.xlsx]Bal Sheet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3"/>
      </tp>
      <tp>
        <v>110955</v>
        <stp/>
        <stp>##V3_BDHV12</stp>
        <stp>XOM US Equity</stp>
        <stp>BS_PURE_RETAINED_EARNINGS</stp>
        <stp>FQ3 2003</stp>
        <stp>FQ3 2003</stp>
        <stp>[FA1_ivyerigx.xlsx]Bal Sheet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3"/>
      </tp>
      <tp>
        <v>146322</v>
        <stp/>
        <stp>##V3_BDHV12</stp>
        <stp>XOM US Equity</stp>
        <stp>BS_PURE_RETAINED_EARNINGS</stp>
        <stp>FQ2 2005</stp>
        <stp>FQ2 2005</stp>
        <stp>[FA1_ivyerigx.xlsx]Bal Sheet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3"/>
      </tp>
      <tp t="s">
        <v>—</v>
        <stp/>
        <stp>##V3_BDHV12</stp>
        <stp>XOM US Equity</stp>
        <stp>IS_NET_ABNORMAL_ITEMS</stp>
        <stp>FQ2 2008</stp>
        <stp>FQ2 2008</stp>
        <stp>[FA1_ivyerigx.xlsx]Income - Adjusted!R30C42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0" s="2"/>
      </tp>
      <tp>
        <v>211283</v>
        <stp/>
        <stp>##V3_BDHV12</stp>
        <stp>XOM US Equity</stp>
        <stp>BS_PURE_RETAINED_EARNINGS</stp>
        <stp>FQ2 2007</stp>
        <stp>FQ2 2007</stp>
        <stp>[FA1_ivyerigx.xlsx]Bal Sheet - Standardized!R44C38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4" s="3"/>
      </tp>
      <tp t="s">
        <v>—</v>
        <stp/>
        <stp>##V3_BDHV12</stp>
        <stp>XOM US Equity</stp>
        <stp>IS_OTHER_OPER_INC</stp>
        <stp>FQ3 2006</stp>
        <stp>FQ3 2006</stp>
        <stp>[FA1_ivyerigx.xlsx]Income - Adjusted!R9C35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9" s="2"/>
      </tp>
      <tp t="s">
        <v>—</v>
        <stp/>
        <stp>##V3_BDHV12</stp>
        <stp>XOM US Equity</stp>
        <stp>IS_OTHER_OPER_INC</stp>
        <stp>FQ2 2006</stp>
        <stp>FQ2 2006</stp>
        <stp>[FA1_ivyerigx.xlsx]Income - Adjusted!R9C34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9" s="2"/>
      </tp>
      <tp t="s">
        <v>—</v>
        <stp/>
        <stp>##V3_BDHV12</stp>
        <stp>XOM US Equity</stp>
        <stp>IS_OTHER_OPER_INC</stp>
        <stp>FQ2 2004</stp>
        <stp>FQ2 2004</stp>
        <stp>[FA1_ivyerigx.xlsx]Income - Adjusted!R9C26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9" s="2"/>
      </tp>
      <tp t="s">
        <v>—</v>
        <stp/>
        <stp>##V3_BDHV12</stp>
        <stp>XOM US Equity</stp>
        <stp>IS_OTHER_OPER_INC</stp>
        <stp>FQ3 2004</stp>
        <stp>FQ3 2004</stp>
        <stp>[FA1_ivyerigx.xlsx]Income - Adjusted!R9C27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9" s="2"/>
      </tp>
      <tp t="s">
        <v>—</v>
        <stp/>
        <stp>##V3_BDHV12</stp>
        <stp>XOM US Equity</stp>
        <stp>IS_OTHER_OPER_INC</stp>
        <stp>FQ1 2004</stp>
        <stp>FQ1 2004</stp>
        <stp>[FA1_ivyerigx.xlsx]Income - Adjusted!R9C25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9" s="2"/>
      </tp>
      <tp>
        <v>14826</v>
        <stp/>
        <stp>##V3_BDHV12</stp>
        <stp>XOM US Equity</stp>
        <stp>EBITDA</stp>
        <stp>FQ3 2005</stp>
        <stp>FQ3 2005</stp>
        <stp>[FA1_ivyerigx.xlsx]Income - Adjusted!R45C31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5" s="2"/>
      </tp>
      <tp>
        <v>6562</v>
        <stp/>
        <stp>##V3_BDHV12</stp>
        <stp>XOM US Equity</stp>
        <stp>EBITDA</stp>
        <stp>FQ3 2001</stp>
        <stp>FQ3 2001</stp>
        <stp>[FA1_ivyerigx.xlsx]Income - Adjusted!R45C15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5" s="2"/>
      </tp>
      <tp>
        <v>3180</v>
        <stp/>
        <stp>##V3_BDHV12</stp>
        <stp>XOM US Equity</stp>
        <stp>NET_INCOME</stp>
        <stp>FQ3 2001</stp>
        <stp>FQ3 2001</stp>
        <stp>[FA1_ivyerigx.xlsx]Income - Adjusted!R24C15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4" s="2"/>
      </tp>
      <tp>
        <v>9920</v>
        <stp/>
        <stp>##V3_BDHV12</stp>
        <stp>XOM US Equity</stp>
        <stp>NET_INCOME</stp>
        <stp>FQ3 2005</stp>
        <stp>FQ3 2005</stp>
        <stp>[FA1_ivyerigx.xlsx]Income - Adjusted!R24C31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4" s="2"/>
      </tp>
      <tp>
        <v>0</v>
        <stp/>
        <stp>##V3_BDHV12</stp>
        <stp>XOM US Equity</stp>
        <stp>INVTRY_IN_PROGRESS</stp>
        <stp>FQ2 2001</stp>
        <stp>FQ2 2001</stp>
        <stp>[FA1_ivyerigx.xlsx]Bal Sheet - Standardized!R14C14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4" s="3"/>
      </tp>
      <tp>
        <v>22431</v>
        <stp/>
        <stp>##V3_BDHV12</stp>
        <stp>XOM US Equity</stp>
        <stp>PRETAX_INC</stp>
        <stp>FQ2 2008</stp>
        <stp>FQ2 2008</stp>
        <stp>[FA1_ivyerigx.xlsx]Income - Adjusted!R18C42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18" s="2"/>
      </tp>
      <tp>
        <v>4311</v>
        <stp/>
        <stp>##V3_BDHV12</stp>
        <stp>XOM US Equity</stp>
        <stp>PRETAX_INC</stp>
        <stp>FQ2 2002</stp>
        <stp>FQ2 2002</stp>
        <stp>[FA1_ivyerigx.xlsx]Income - Adjusted!R18C18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18" s="2"/>
      </tp>
      <tp>
        <v>0</v>
        <stp/>
        <stp>##V3_BDHV12</stp>
        <stp>XOM US Equity</stp>
        <stp>INVTRY_IN_PROGRESS</stp>
        <stp>FQ1 2003</stp>
        <stp>FQ1 2003</stp>
        <stp>[FA1_ivyerigx.xlsx]Bal Sheet - Standardized!R14C21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4" s="3"/>
      </tp>
      <tp>
        <v>0</v>
        <stp/>
        <stp>##V3_BDHV12</stp>
        <stp>XOM US Equity</stp>
        <stp>INVTRY_IN_PROGRESS</stp>
        <stp>FQ2 2000</stp>
        <stp>FQ2 2000</stp>
        <stp>[FA1_ivyerigx.xlsx]Bal Sheet - Standardized!R14C10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4" s="3"/>
      </tp>
      <tp>
        <v>0</v>
        <stp/>
        <stp>##V3_BDHV12</stp>
        <stp>XOM US Equity</stp>
        <stp>INVTRY_IN_PROGRESS</stp>
        <stp>FQ1 2004</stp>
        <stp>FQ1 2004</stp>
        <stp>[FA1_ivyerigx.xlsx]Bal Sheet - Standardized!R14C25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4" s="3"/>
      </tp>
      <tp>
        <v>0</v>
        <stp/>
        <stp>##V3_BDHV12</stp>
        <stp>XOM US Equity</stp>
        <stp>INVTRY_IN_PROGRESS</stp>
        <stp>FQ1 2005</stp>
        <stp>FQ1 2005</stp>
        <stp>[FA1_ivyerigx.xlsx]Bal Sheet - Standardized!R14C29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4" s="3"/>
      </tp>
      <tp>
        <v>0</v>
        <stp/>
        <stp>##V3_BDHV12</stp>
        <stp>XOM US Equity</stp>
        <stp>INVTRY_IN_PROGRESS</stp>
        <stp>FQ2 2002</stp>
        <stp>FQ2 2002</stp>
        <stp>[FA1_ivyerigx.xlsx]Bal Sheet - Standardized!R14C18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4" s="3"/>
      </tp>
      <tp t="s">
        <v>—</v>
        <stp/>
        <stp>##V3_BDHV12</stp>
        <stp>XOM US Equity</stp>
        <stp>BS_PENSION_RSRV</stp>
        <stp>FQ4 2001</stp>
        <stp>FQ4 2001</stp>
        <stp>[FA1_ivyerigx.xlsx]Bal Sheet - Standardized!R55C16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3"/>
      </tp>
      <tp t="s">
        <v>—</v>
        <stp/>
        <stp>##V3_BDHV12</stp>
        <stp>XOM US Equity</stp>
        <stp>BS_PENSION_RSRV</stp>
        <stp>FQ4 2000</stp>
        <stp>FQ4 2000</stp>
        <stp>[FA1_ivyerigx.xlsx]Bal Sheet - Standardized!R55C12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3"/>
      </tp>
      <tp t="s">
        <v>—</v>
        <stp/>
        <stp>##V3_BDHV12</stp>
        <stp>XOM US Equity</stp>
        <stp>BS_PENSION_RSRV</stp>
        <stp>FQ1 2008</stp>
        <stp>FQ1 2008</stp>
        <stp>[FA1_ivyerigx.xlsx]Bal Sheet - Standardized!R55C41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3"/>
      </tp>
      <tp>
        <v>12126</v>
        <stp/>
        <stp>##V3_BDHV12</stp>
        <stp>XOM US Equity</stp>
        <stp>BS_AMT_OF_TSY_STOCK</stp>
        <stp>FQ4 1999</stp>
        <stp>FQ4 1999</stp>
        <stp>[FA1_ivyerigx.xlsx]Bal Sheet - Standardized!R43C8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3" s="3"/>
      </tp>
      <tp>
        <v>12287</v>
        <stp/>
        <stp>##V3_BDHV12</stp>
        <stp>XOM US Equity</stp>
        <stp>BS_AMT_OF_TSY_STOCK</stp>
        <stp>FQ1 1999</stp>
        <stp>FQ1 1999</stp>
        <stp>[FA1_ivyerigx.xlsx]Bal Sheet - Standardized!R43C5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3" s="3"/>
      </tp>
      <tp>
        <v>12464</v>
        <stp/>
        <stp>##V3_BDHV12</stp>
        <stp>XOM US Equity</stp>
        <stp>BS_AMT_OF_TSY_STOCK</stp>
        <stp>FQ2 1999</stp>
        <stp>FQ2 1999</stp>
        <stp>[FA1_ivyerigx.xlsx]Bal Sheet - Standardized!R43C6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3" s="3"/>
      </tp>
      <tp>
        <v>12510</v>
        <stp/>
        <stp>##V3_BDHV12</stp>
        <stp>XOM US Equity</stp>
        <stp>BS_AMT_OF_TSY_STOCK</stp>
        <stp>FQ3 1999</stp>
        <stp>FQ3 1999</stp>
        <stp>[FA1_ivyerigx.xlsx]Bal Sheet - Standardized!R43C7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3" s="3"/>
      </tp>
      <tp>
        <v>12205</v>
        <stp/>
        <stp>##V3_BDHV12</stp>
        <stp>XOM US Equity</stp>
        <stp>BS_AMT_OF_TSY_STOCK</stp>
        <stp>FQ4 1998</stp>
        <stp>FQ4 1998</stp>
        <stp>[FA1_ivyerigx.xlsx]Bal Sheet - Standardized!R43C4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3" s="3"/>
      </tp>
      <tp>
        <v>11825</v>
        <stp/>
        <stp>##V3_BDHV12</stp>
        <stp>XOM US Equity</stp>
        <stp>BS_AMT_OF_TSY_STOCK</stp>
        <stp>FQ3 1998</stp>
        <stp>FQ3 1998</stp>
        <stp>[FA1_ivyerigx.xlsx]Bal Sheet - Standardized!R43C3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3" s="3"/>
      </tp>
      <tp>
        <v>123781</v>
        <stp/>
        <stp>##V3_BDHV12</stp>
        <stp>XOM US Equity</stp>
        <stp>BS_PURE_RETAINED_EARNINGS</stp>
        <stp>FQ2 2004</stp>
        <stp>FQ2 2004</stp>
        <stp>[FA1_ivyerigx.xlsx]Bal Sheet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3"/>
      </tp>
      <tp>
        <v>186810</v>
        <stp/>
        <stp>##V3_BDHV12</stp>
        <stp>XOM US Equity</stp>
        <stp>BS_PURE_RETAINED_EARNINGS</stp>
        <stp>FQ3 2006</stp>
        <stp>FQ3 2006</stp>
        <stp>[FA1_ivyerigx.xlsx]Bal Sheet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3"/>
      </tp>
      <tp>
        <v>90130</v>
        <stp/>
        <stp>##V3_BDHV12</stp>
        <stp>XOM US Equity</stp>
        <stp>BS_PURE_RETAINED_EARNINGS</stp>
        <stp>FQ1 2001</stp>
        <stp>FQ1 2001</stp>
        <stp>[FA1_ivyerigx.xlsx]Bal Sheet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3"/>
      </tp>
      <tp>
        <v>108963</v>
        <stp/>
        <stp>##V3_BDHV12</stp>
        <stp>XOM US Equity</stp>
        <stp>BS_PURE_RETAINED_EARNINGS</stp>
        <stp>FQ2 2003</stp>
        <stp>FQ2 2003</stp>
        <stp>[FA1_ivyerigx.xlsx]Bal Sheet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3"/>
      </tp>
      <tp>
        <v>228518</v>
        <stp/>
        <stp>##V3_BDHV12</stp>
        <stp>XOM US Equity</stp>
        <stp>BS_PURE_RETAINED_EARNINGS</stp>
        <stp>FQ4 2007</stp>
        <stp>FQ4 2007</stp>
        <stp>[FA1_ivyerigx.xlsx]Bal Sheet - Standardized!R44C40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4" s="3"/>
      </tp>
      <tp>
        <v>96245</v>
        <stp/>
        <stp>##V3_BDHV12</stp>
        <stp>XOM US Equity</stp>
        <stp>BS_PURE_RETAINED_EARNINGS</stp>
        <stp>FQ1 2002</stp>
        <stp>FQ1 2002</stp>
        <stp>[FA1_ivyerigx.xlsx]Bal Sheet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3"/>
      </tp>
      <tp>
        <v>154420</v>
        <stp/>
        <stp>##V3_BDHV12</stp>
        <stp>XOM US Equity</stp>
        <stp>BS_PURE_RETAINED_EARNINGS</stp>
        <stp>FQ3 2005</stp>
        <stp>FQ3 2005</stp>
        <stp>[FA1_ivyerigx.xlsx]Bal Sheet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3"/>
      </tp>
      <tp>
        <v>29015</v>
        <stp/>
        <stp>##V3_BDHV12</stp>
        <stp>XOM US Equity</stp>
        <stp>SALES_REV_TURN</stp>
        <stp>FQ3 1999</stp>
        <stp>FQ3 1999</stp>
        <stp>[FA1_ivyerigx.xlsx]Income - Adjusted!R6C7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2"/>
      </tp>
      <tp>
        <v>218761</v>
        <stp/>
        <stp>##V3_BDHV12</stp>
        <stp>XOM US Equity</stp>
        <stp>BS_PURE_RETAINED_EARNINGS</stp>
        <stp>FQ3 2007</stp>
        <stp>FQ3 2007</stp>
        <stp>[FA1_ivyerigx.xlsx]Bal Sheet - Standardized!R44C39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4" s="3"/>
      </tp>
      <tp>
        <v>25295</v>
        <stp/>
        <stp>##V3_BDHV12</stp>
        <stp>XOM US Equity</stp>
        <stp>SALES_REV_TURN</stp>
        <stp>FQ2 1999</stp>
        <stp>FQ2 1999</stp>
        <stp>[FA1_ivyerigx.xlsx]Income - Adjusted!R6C6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2"/>
      </tp>
      <tp>
        <v>22982</v>
        <stp/>
        <stp>##V3_BDHV12</stp>
        <stp>XOM US Equity</stp>
        <stp>SALES_REV_TURN</stp>
        <stp>FQ1 1999</stp>
        <stp>FQ1 1999</stp>
        <stp>[FA1_ivyerigx.xlsx]Income - Adjusted!R6C5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2"/>
      </tp>
      <tp>
        <v>4185</v>
        <stp/>
        <stp>##V3_BDHV12</stp>
        <stp>XOM US Equity</stp>
        <stp>NET_INCOME</stp>
        <stp>FQ4 1999</stp>
        <stp>FQ4 1999</stp>
        <stp>[FA1_ivyerigx.xlsx]Income - Adjusted!R24C8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4" s="2"/>
      </tp>
      <tp>
        <v>2145</v>
        <stp/>
        <stp>##V3_BDHV12</stp>
        <stp>XOM US Equity</stp>
        <stp>PRETAX_INC</stp>
        <stp>FQ3 1998</stp>
        <stp>FQ3 1998</stp>
        <stp>[FA1_ivyerigx.xlsx]Income - Adjusted!R18C3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18" s="2"/>
      </tp>
      <tp t="s">
        <v>—</v>
        <stp/>
        <stp>##V3_BDHV12</stp>
        <stp>XOM US Equity</stp>
        <stp>PRETAX_INC</stp>
        <stp>FQ4 1998</stp>
        <stp>FQ4 1998</stp>
        <stp>[FA1_ivyerigx.xlsx]Income - Adjusted!R18C4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18" s="2"/>
      </tp>
      <tp>
        <v>133160</v>
        <stp/>
        <stp>##V3_BDHV12</stp>
        <stp>XOM US Equity</stp>
        <stp>BS_GROSS_FIX_ASSET</stp>
        <stp>FQ3 1998</stp>
        <stp>FQ3 1998</stp>
        <stp>[FA1_ivyerigx.xlsx]Bal Sheet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3"/>
      </tp>
      <tp>
        <v>128248</v>
        <stp/>
        <stp>##V3_BDHV12</stp>
        <stp>XOM US Equity</stp>
        <stp>BS_GROSS_FIX_ASSET</stp>
        <stp>FQ4 1998</stp>
        <stp>FQ4 1998</stp>
        <stp>[FA1_ivyerigx.xlsx]Bal Sheet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3"/>
      </tp>
      <tp t="s">
        <v>—</v>
        <stp/>
        <stp>##V3_BDHV12</stp>
        <stp>XOM US Equity</stp>
        <stp>BS_GROSS_FIX_ASSET</stp>
        <stp>FQ1 1999</stp>
        <stp>FQ1 1999</stp>
        <stp>[FA1_ivyerigx.xlsx]Bal Sheet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3"/>
      </tp>
      <tp t="s">
        <v>—</v>
        <stp/>
        <stp>##V3_BDHV12</stp>
        <stp>XOM US Equity</stp>
        <stp>BS_GROSS_FIX_ASSET</stp>
        <stp>FQ2 1999</stp>
        <stp>FQ2 1999</stp>
        <stp>[FA1_ivyerigx.xlsx]Bal Sheet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3"/>
      </tp>
      <tp t="s">
        <v>—</v>
        <stp/>
        <stp>##V3_BDHV12</stp>
        <stp>XOM US Equity</stp>
        <stp>BS_GROSS_FIX_ASSET</stp>
        <stp>FQ3 1999</stp>
        <stp>FQ3 1999</stp>
        <stp>[FA1_ivyerigx.xlsx]Bal Sheet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3"/>
      </tp>
      <tp>
        <v>189212</v>
        <stp/>
        <stp>##V3_BDHV12</stp>
        <stp>XOM US Equity</stp>
        <stp>BS_GROSS_FIX_ASSET</stp>
        <stp>FQ4 1999</stp>
        <stp>FQ4 1999</stp>
        <stp>[FA1_ivyerigx.xlsx]Bal Sheet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3"/>
      </tp>
      <tp t="s">
        <v>—</v>
        <stp/>
        <stp>##V3_BDHV12</stp>
        <stp>XOM US Equity</stp>
        <stp>IS_OTHER_OPER_INC</stp>
        <stp>FQ1 2007</stp>
        <stp>FQ1 2007</stp>
        <stp>[FA1_ivyerigx.xlsx]Income - Adjusted!R9C37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9" s="2"/>
      </tp>
      <tp>
        <v>65199</v>
        <stp/>
        <stp>##V3_BDHV12</stp>
        <stp>XOM US Equity</stp>
        <stp>BS_NET_FIX_ASSET</stp>
        <stp>FQ4 1998</stp>
        <stp>FQ4 1998</stp>
        <stp>[FA1_ivyerigx.xlsx]Bal Sheet - Standardized!R19C4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9" s="3"/>
      </tp>
      <tp>
        <v>68277</v>
        <stp/>
        <stp>##V3_BDHV12</stp>
        <stp>XOM US Equity</stp>
        <stp>BS_NET_FIX_ASSET</stp>
        <stp>FQ3 1998</stp>
        <stp>FQ3 1998</stp>
        <stp>[FA1_ivyerigx.xlsx]Bal Sheet - Standardized!R19C3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13772</v>
        <stp/>
        <stp>##V3_BDHV12</stp>
        <stp>XOM US Equity</stp>
        <stp>EBITDA</stp>
        <stp>FQ2 2005</stp>
        <stp>FQ2 2005</stp>
        <stp>[FA1_ivyerigx.xlsx]Income - Adjusted!R45C30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5" s="2"/>
      </tp>
      <tp>
        <v>7980</v>
        <stp/>
        <stp>##V3_BDHV12</stp>
        <stp>XOM US Equity</stp>
        <stp>EBITDA</stp>
        <stp>FQ2 2001</stp>
        <stp>FQ2 2001</stp>
        <stp>[FA1_ivyerigx.xlsx]Income - Adjusted!R45C14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5" s="2"/>
      </tp>
      <tp>
        <v>15787</v>
        <stp/>
        <stp>##V3_BDHV12</stp>
        <stp>XOM US Equity</stp>
        <stp>EBITDA</stp>
        <stp>FQ1 2006</stp>
        <stp>FQ1 2006</stp>
        <stp>[FA1_ivyerigx.xlsx]Income - Adjusted!R45C33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5" s="2"/>
      </tp>
      <tp>
        <v>4755</v>
        <stp/>
        <stp>##V3_BDHV12</stp>
        <stp>XOM US Equity</stp>
        <stp>EBITDA</stp>
        <stp>FQ1 2002</stp>
        <stp>FQ1 2002</stp>
        <stp>[FA1_ivyerigx.xlsx]Income - Adjusted!R45C17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5" s="2"/>
      </tp>
      <tp>
        <v>65999</v>
        <stp/>
        <stp>##V3_BDHV12</stp>
        <stp>XOM US Equity</stp>
        <stp>BS_NET_FIX_ASSET</stp>
        <stp>FQ3 1999</stp>
        <stp>FQ3 1999</stp>
        <stp>[FA1_ivyerigx.xlsx]Bal Sheet - Standardized!R19C7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65002</v>
        <stp/>
        <stp>##V3_BDHV12</stp>
        <stp>XOM US Equity</stp>
        <stp>BS_NET_FIX_ASSET</stp>
        <stp>FQ2 1999</stp>
        <stp>FQ2 1999</stp>
        <stp>[FA1_ivyerigx.xlsx]Bal Sheet - Standardized!R19C6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9" s="3"/>
      </tp>
      <tp>
        <v>64415</v>
        <stp/>
        <stp>##V3_BDHV12</stp>
        <stp>XOM US Equity</stp>
        <stp>BS_NET_FIX_ASSET</stp>
        <stp>FQ1 1999</stp>
        <stp>FQ1 1999</stp>
        <stp>[FA1_ivyerigx.xlsx]Bal Sheet - Standardized!R19C5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9" s="3"/>
      </tp>
      <tp>
        <v>4460</v>
        <stp/>
        <stp>##V3_BDHV12</stp>
        <stp>XOM US Equity</stp>
        <stp>NET_INCOME</stp>
        <stp>FQ2 2001</stp>
        <stp>FQ2 2001</stp>
        <stp>[FA1_ivyerigx.xlsx]Income - Adjusted!R24C14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4" s="2"/>
      </tp>
      <tp>
        <v>7640</v>
        <stp/>
        <stp>##V3_BDHV12</stp>
        <stp>XOM US Equity</stp>
        <stp>NET_INCOME</stp>
        <stp>FQ2 2005</stp>
        <stp>FQ2 2005</stp>
        <stp>[FA1_ivyerigx.xlsx]Income - Adjusted!R24C30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4" s="2"/>
      </tp>
      <tp>
        <v>2090</v>
        <stp/>
        <stp>##V3_BDHV12</stp>
        <stp>XOM US Equity</stp>
        <stp>NET_INCOME</stp>
        <stp>FQ1 2002</stp>
        <stp>FQ1 2002</stp>
        <stp>[FA1_ivyerigx.xlsx]Income - Adjusted!R24C17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4" s="2"/>
      </tp>
      <tp>
        <v>8400</v>
        <stp/>
        <stp>##V3_BDHV12</stp>
        <stp>XOM US Equity</stp>
        <stp>NET_INCOME</stp>
        <stp>FQ1 2006</stp>
        <stp>FQ1 2006</stp>
        <stp>[FA1_ivyerigx.xlsx]Income - Adjusted!R24C33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4" s="2"/>
      </tp>
      <tp>
        <v>94043</v>
        <stp/>
        <stp>##V3_BDHV12</stp>
        <stp>XOM US Equity</stp>
        <stp>BS_NET_FIX_ASSET</stp>
        <stp>FQ4 1999</stp>
        <stp>FQ4 1999</stp>
        <stp>[FA1_ivyerigx.xlsx]Bal Sheet - Standardized!R19C8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9" s="3"/>
      </tp>
      <tp>
        <v>0</v>
        <stp/>
        <stp>##V3_BDHV12</stp>
        <stp>XOM US Equity</stp>
        <stp>INVTRY_IN_PROGRESS</stp>
        <stp>FQ3 2001</stp>
        <stp>FQ3 2001</stp>
        <stp>[FA1_ivyerigx.xlsx]Bal Sheet - Standardized!R14C15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4" s="3"/>
      </tp>
      <tp>
        <v>4574</v>
        <stp/>
        <stp>##V3_BDHV12</stp>
        <stp>XOM US Equity</stp>
        <stp>PRETAX_INC</stp>
        <stp>FQ3 2002</stp>
        <stp>FQ3 2002</stp>
        <stp>[FA1_ivyerigx.xlsx]Income - Adjusted!R18C19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18" s="2"/>
      </tp>
      <tp t="s">
        <v>—</v>
        <stp/>
        <stp>##V3_BDHV12</stp>
        <stp>XOM US Equity</stp>
        <stp>INVTRY_IN_PROGRESS</stp>
        <stp>FQ1 2006</stp>
        <stp>FQ1 2006</stp>
        <stp>[FA1_ivyerigx.xlsx]Bal Sheet - Standardized!R14C33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4" s="3"/>
      </tp>
      <tp>
        <v>0</v>
        <stp/>
        <stp>##V3_BDHV12</stp>
        <stp>XOM US Equity</stp>
        <stp>INVTRY_IN_PROGRESS</stp>
        <stp>FQ3 2000</stp>
        <stp>FQ3 2000</stp>
        <stp>[FA1_ivyerigx.xlsx]Bal Sheet - Standardized!R14C11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4" s="3"/>
      </tp>
      <tp>
        <v>0</v>
        <stp/>
        <stp>##V3_BDHV12</stp>
        <stp>XOM US Equity</stp>
        <stp>INVTRY_IN_PROGRESS</stp>
        <stp>FQ1 2007</stp>
        <stp>FQ1 2007</stp>
        <stp>[FA1_ivyerigx.xlsx]Bal Sheet - Standardized!R14C37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4" s="3"/>
      </tp>
      <tp>
        <v>0</v>
        <stp/>
        <stp>##V3_BDHV12</stp>
        <stp>XOM US Equity</stp>
        <stp>INVTRY_IN_PROGRESS</stp>
        <stp>FQ3 2002</stp>
        <stp>FQ3 2002</stp>
        <stp>[FA1_ivyerigx.xlsx]Bal Sheet - Standardized!R14C19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4" s="3"/>
      </tp>
      <tp t="s">
        <v>—</v>
        <stp/>
        <stp>##V3_BDHV12</stp>
        <stp>XOM US Equity</stp>
        <stp>IS_NET_ABNORMAL_ITEMS</stp>
        <stp>FQ1 2003</stp>
        <stp>FQ1 2003</stp>
        <stp>[FA1_ivyerigx.xlsx]Income - Adjusted!R30C21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0" s="2"/>
      </tp>
      <tp t="s">
        <v>—</v>
        <stp/>
        <stp>##V3_BDHV12</stp>
        <stp>XOM US Equity</stp>
        <stp>IS_NET_ABNORMAL_ITEMS</stp>
        <stp>FQ3 2002</stp>
        <stp>FQ3 2002</stp>
        <stp>[FA1_ivyerigx.xlsx]Income - Adjusted!R30C19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0" s="2"/>
      </tp>
      <tp>
        <v>21332</v>
        <stp/>
        <stp>##V3_BDHV12</stp>
        <stp>XOM US Equity</stp>
        <stp>EBITDA</stp>
        <stp>FQ2 2008</stp>
        <stp>FQ2 2008</stp>
        <stp>[FA1_ivyerigx.xlsx]Income - Adjusted!R45C42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5" s="2"/>
      </tp>
      <tp>
        <v>5591</v>
        <stp/>
        <stp>##V3_BDHV12</stp>
        <stp>XOM US Equity</stp>
        <stp>EBITDA</stp>
        <stp>FQ2 2002</stp>
        <stp>FQ2 2002</stp>
        <stp>[FA1_ivyerigx.xlsx]Income - Adjusted!R45C18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5" s="2"/>
      </tp>
      <tp>
        <v>12.533300000000001</v>
        <stp/>
        <stp>##V3_BDHV12</stp>
        <stp>XOM US Equity</stp>
        <stp>EBITDA_MARGIN</stp>
        <stp>FQ4 2002</stp>
        <stp>FQ4 2002</stp>
        <stp>[FA1_ivyerigx.xlsx]Cash Flow - Standardized!R43C20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43" s="4"/>
      </tp>
      <tp>
        <v>14.2171</v>
        <stp/>
        <stp>##V3_BDHV12</stp>
        <stp>XOM US Equity</stp>
        <stp>EBITDA_MARGIN</stp>
        <stp>FQ1 2002</stp>
        <stp>FQ1 2002</stp>
        <stp>[FA1_ivyerigx.xlsx]Cash Flow - Standardized!R43C17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43" s="4"/>
      </tp>
      <tp>
        <v>12.821199999999999</v>
        <stp/>
        <stp>##V3_BDHV12</stp>
        <stp>XOM US Equity</stp>
        <stp>EBITDA_MARGIN</stp>
        <stp>FQ3 2002</stp>
        <stp>FQ3 2002</stp>
        <stp>[FA1_ivyerigx.xlsx]Cash Flow - Standardized!R43C19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43" s="4"/>
      </tp>
      <tp>
        <v>13.255800000000001</v>
        <stp/>
        <stp>##V3_BDHV12</stp>
        <stp>XOM US Equity</stp>
        <stp>EBITDA_MARGIN</stp>
        <stp>FQ2 2002</stp>
        <stp>FQ2 2002</stp>
        <stp>[FA1_ivyerigx.xlsx]Cash Flow - Standardized!R43C18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43" s="4"/>
      </tp>
      <tp>
        <v>2640</v>
        <stp/>
        <stp>##V3_BDHV12</stp>
        <stp>XOM US Equity</stp>
        <stp>NET_INCOME</stp>
        <stp>FQ2 2002</stp>
        <stp>FQ2 2002</stp>
        <stp>[FA1_ivyerigx.xlsx]Income - Adjusted!R24C18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4" s="2"/>
      </tp>
      <tp>
        <v>11680</v>
        <stp/>
        <stp>##V3_BDHV12</stp>
        <stp>XOM US Equity</stp>
        <stp>NET_INCOME</stp>
        <stp>FQ2 2008</stp>
        <stp>FQ2 2008</stp>
        <stp>[FA1_ivyerigx.xlsx]Income - Adjusted!R24C42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4" s="2"/>
      </tp>
      <tp>
        <v>16226</v>
        <stp/>
        <stp>##V3_BDHV12</stp>
        <stp>XOM US Equity</stp>
        <stp>PRETAX_INC</stp>
        <stp>FQ3 2005</stp>
        <stp>FQ3 2005</stp>
        <stp>[FA1_ivyerigx.xlsx]Income - Adjusted!R18C31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18" s="2"/>
      </tp>
      <tp>
        <v>5365</v>
        <stp/>
        <stp>##V3_BDHV12</stp>
        <stp>XOM US Equity</stp>
        <stp>PRETAX_INC</stp>
        <stp>FQ3 2001</stp>
        <stp>FQ3 2001</stp>
        <stp>[FA1_ivyerigx.xlsx]Income - Adjusted!R18C15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18" s="2"/>
      </tp>
      <tp>
        <v>0</v>
        <stp/>
        <stp>##V3_BDHV12</stp>
        <stp>XOM US Equity</stp>
        <stp>BS_DISCLOSED_INTANGIBLES</stp>
        <stp>FQ1 1999</stp>
        <stp>FQ1 1999</stp>
        <stp>[FA1_ivyerigx.xlsx]Bal Sheet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0</v>
        <stp/>
        <stp>##V3_BDHV12</stp>
        <stp>XOM US Equity</stp>
        <stp>BS_DISCLOSED_INTANGIBLES</stp>
        <stp>FQ3 1999</stp>
        <stp>FQ3 1999</stp>
        <stp>[FA1_ivyerigx.xlsx]Bal Sheet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0</v>
        <stp/>
        <stp>##V3_BDHV12</stp>
        <stp>XOM US Equity</stp>
        <stp>BS_DISCLOSED_INTANGIBLES</stp>
        <stp>FQ2 1999</stp>
        <stp>FQ2 1999</stp>
        <stp>[FA1_ivyerigx.xlsx]Bal Sheet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3"/>
      </tp>
      <tp t="s">
        <v>—</v>
        <stp/>
        <stp>##V3_BDHV12</stp>
        <stp>XOM US Equity</stp>
        <stp>BS_DISCLOSED_INTANGIBLES</stp>
        <stp>FQ3 1998</stp>
        <stp>FQ3 1998</stp>
        <stp>[FA1_ivyerigx.xlsx]Bal Sheet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3"/>
      </tp>
      <tp t="s">
        <v>—</v>
        <stp/>
        <stp>##V3_BDHV12</stp>
        <stp>XOM US Equity</stp>
        <stp>BS_DISCLOSED_INTANGIBLES</stp>
        <stp>FQ4 1998</stp>
        <stp>FQ4 1998</stp>
        <stp>[FA1_ivyerigx.xlsx]Bal Sheet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3"/>
      </tp>
      <tp t="s">
        <v>—</v>
        <stp/>
        <stp>##V3_BDHV12</stp>
        <stp>XOM US Equity</stp>
        <stp>BS_DISCLOSED_INTANGIBLES</stp>
        <stp>FQ4 1999</stp>
        <stp>FQ4 1999</stp>
        <stp>[FA1_ivyerigx.xlsx]Bal Sheet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0</v>
        <stp/>
        <stp>##V3_BDHV12</stp>
        <stp>XOM US Equity</stp>
        <stp>XO_GL_NET_OF_TAX</stp>
        <stp>FQ3 1999</stp>
        <stp>FQ3 1999</stp>
        <stp>[FA1_ivyerigx.xlsx]Income - Adjusted!R31C7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2"/>
      </tp>
      <tp>
        <v>0</v>
        <stp/>
        <stp>##V3_BDHV12</stp>
        <stp>XOM US Equity</stp>
        <stp>XO_GL_NET_OF_TAX</stp>
        <stp>FQ3 1999</stp>
        <stp>FQ3 1999</stp>
        <stp>[FA1_ivyerigx.xlsx]Income - Adjusted!R21C7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2"/>
      </tp>
      <tp>
        <v>0</v>
        <stp/>
        <stp>##V3_BDHV12</stp>
        <stp>XOM US Equity</stp>
        <stp>XO_GL_NET_OF_TAX</stp>
        <stp>FQ3 1998</stp>
        <stp>FQ3 1998</stp>
        <stp>[FA1_ivyerigx.xlsx]Income - Adjusted!R21C3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2"/>
      </tp>
      <tp>
        <v>0</v>
        <stp/>
        <stp>##V3_BDHV12</stp>
        <stp>XOM US Equity</stp>
        <stp>XO_GL_NET_OF_TAX</stp>
        <stp>FQ3 1998</stp>
        <stp>FQ3 1998</stp>
        <stp>[FA1_ivyerigx.xlsx]Income - Adjusted!R31C3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2"/>
      </tp>
      <tp t="s">
        <v>—</v>
        <stp/>
        <stp>##V3_BDHV12</stp>
        <stp>XOM US Equity</stp>
        <stp>GROSS_MARGIN</stp>
        <stp>FQ4 1998</stp>
        <stp>FQ4 1998</stp>
        <stp>[FA1_ivyerigx.xlsx]Income - Adjusted!R49C4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D49" s="2"/>
      </tp>
      <tp>
        <v>38.919499999999999</v>
        <stp/>
        <stp>##V3_BDHV12</stp>
        <stp>XOM US Equity</stp>
        <stp>GROSS_MARGIN</stp>
        <stp>FQ3 1998</stp>
        <stp>FQ3 1998</stp>
        <stp>[FA1_ivyerigx.xlsx]Income - Adjusted!R49C3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C49" s="2"/>
      </tp>
      <tp>
        <v>55242</v>
        <stp/>
        <stp>##V3_BDHV12</stp>
        <stp>XOM US Equity</stp>
        <stp>OTHER_NONCURRENT_LIABS_DETAILED</stp>
        <stp>FQ3 2007</stp>
        <stp>FQ3 2007</stp>
        <stp>[FA1_ivyerigx.xlsx]Bal Sheet - Standardized!R38C39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8" s="3"/>
      </tp>
      <tp>
        <v>294</v>
        <stp/>
        <stp>##V3_BDHV12</stp>
        <stp>XOM US Equity</stp>
        <stp>BS_TOTAL_CAPITAL_LEASES</stp>
        <stp>FQ4 2002</stp>
        <stp>FQ4 2002</stp>
        <stp>[FA1_ivyerigx.xlsx]Bal Sheet - Standardized!R57C20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7" s="3"/>
      </tp>
      <tp>
        <v>370</v>
        <stp/>
        <stp>##V3_BDHV12</stp>
        <stp>XOM US Equity</stp>
        <stp>BS_TOTAL_CAPITAL_LEASES</stp>
        <stp>FQ4 2003</stp>
        <stp>FQ4 2003</stp>
        <stp>[FA1_ivyerigx.xlsx]Bal Sheet - Standardized!R57C24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7" s="3"/>
      </tp>
      <tp>
        <v>44830</v>
        <stp/>
        <stp>##V3_BDHV12</stp>
        <stp>XOM US Equity</stp>
        <stp>OTHER_NONCURRENT_LIABS_DETAILED</stp>
        <stp>FQ3 2005</stp>
        <stp>FQ3 2005</stp>
        <stp>[FA1_ivyerigx.xlsx]Bal Sheet - Standardized!R38C31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8" s="3"/>
      </tp>
      <tp>
        <v>37221</v>
        <stp/>
        <stp>##V3_BDHV12</stp>
        <stp>XOM US Equity</stp>
        <stp>BS_CUR_LIAB</stp>
        <stp>FQ1 2000</stp>
        <stp>FQ1 2000</stp>
        <stp>[FA1_ivyerigx.xlsx]Bal Sheet - Standardized!R35C9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5" s="3"/>
      </tp>
      <tp>
        <v>32374</v>
        <stp/>
        <stp>##V3_BDHV12</stp>
        <stp>XOM US Equity</stp>
        <stp>OTHER_NONCURRENT_LIABS_DETAILED</stp>
        <stp>FQ1 2002</stp>
        <stp>FQ1 2002</stp>
        <stp>[FA1_ivyerigx.xlsx]Bal Sheet - Standardized!R38C17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8" s="3"/>
      </tp>
      <tp>
        <v>40063</v>
        <stp/>
        <stp>##V3_BDHV12</stp>
        <stp>XOM US Equity</stp>
        <stp>OTHER_NONCURRENT_LIABS_DETAILED</stp>
        <stp>FQ2 2003</stp>
        <stp>FQ2 2003</stp>
        <stp>[FA1_ivyerigx.xlsx]Bal Sheet - Standardized!R38C22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8" s="3"/>
      </tp>
      <tp>
        <v>32266</v>
        <stp/>
        <stp>##V3_BDHV12</stp>
        <stp>XOM US Equity</stp>
        <stp>OTHER_NONCURRENT_LIABS_DETAILED</stp>
        <stp>FQ1 2001</stp>
        <stp>FQ1 2001</stp>
        <stp>[FA1_ivyerigx.xlsx]Bal Sheet - Standardized!R38C13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8" s="3"/>
      </tp>
      <tp>
        <v>50543</v>
        <stp/>
        <stp>##V3_BDHV12</stp>
        <stp>XOM US Equity</stp>
        <stp>OTHER_NONCURRENT_LIABS_DETAILED</stp>
        <stp>FQ4 2007</stp>
        <stp>FQ4 2007</stp>
        <stp>[FA1_ivyerigx.xlsx]Bal Sheet - Standardized!R38C40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8" s="3"/>
      </tp>
      <tp t="s">
        <v>—</v>
        <stp/>
        <stp>##V3_BDHV12</stp>
        <stp>XOM US Equity</stp>
        <stp>BS_TOTAL_CAPITAL_LEASES</stp>
        <stp>FQ2 2008</stp>
        <stp>FQ2 2008</stp>
        <stp>[FA1_ivyerigx.xlsx]Bal Sheet - Standardized!R57C42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7" s="3"/>
      </tp>
      <tp>
        <v>354</v>
        <stp/>
        <stp>##V3_BDHV12</stp>
        <stp>XOM US Equity</stp>
        <stp>BS_TOTAL_CAPITAL_LEASES</stp>
        <stp>FQ4 2004</stp>
        <stp>FQ4 2004</stp>
        <stp>[FA1_ivyerigx.xlsx]Bal Sheet - Standardized!R57C28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7" s="3"/>
      </tp>
      <tp>
        <v>46086</v>
        <stp/>
        <stp>##V3_BDHV12</stp>
        <stp>XOM US Equity</stp>
        <stp>OTHER_NONCURRENT_LIABS_DETAILED</stp>
        <stp>FQ3 2006</stp>
        <stp>FQ3 2006</stp>
        <stp>[FA1_ivyerigx.xlsx]Bal Sheet - Standardized!R38C35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8" s="3"/>
      </tp>
      <tp>
        <v>41122</v>
        <stp/>
        <stp>##V3_BDHV12</stp>
        <stp>XOM US Equity</stp>
        <stp>OTHER_NONCURRENT_LIABS_DETAILED</stp>
        <stp>FQ2 2004</stp>
        <stp>FQ2 2004</stp>
        <stp>[FA1_ivyerigx.xlsx]Bal Sheet - Standardized!R38C26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8" s="3"/>
      </tp>
      <tp>
        <v>0</v>
        <stp/>
        <stp>##V3_BDHV12</stp>
        <stp>XOM US Equity</stp>
        <stp>CF_INCR_CAP_STOCK</stp>
        <stp>FQ2 1999</stp>
        <stp>FQ2 1999</stp>
        <stp>[FA1_ivyerigx.xlsx]Cash Flow - Standardized!R31C6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4"/>
      </tp>
      <tp>
        <v>0</v>
        <stp/>
        <stp>##V3_BDHV12</stp>
        <stp>XOM US Equity</stp>
        <stp>CF_INCR_CAP_STOCK</stp>
        <stp>FQ3 1999</stp>
        <stp>FQ3 1999</stp>
        <stp>[FA1_ivyerigx.xlsx]Cash Flow - Standardized!R31C7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1" s="4"/>
      </tp>
      <tp>
        <v>0</v>
        <stp/>
        <stp>##V3_BDHV12</stp>
        <stp>XOM US Equity</stp>
        <stp>CF_INCR_CAP_STOCK</stp>
        <stp>FQ1 1999</stp>
        <stp>FQ1 1999</stp>
        <stp>[FA1_ivyerigx.xlsx]Cash Flow - Standardized!R31C5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4"/>
      </tp>
      <tp t="s">
        <v>—</v>
        <stp/>
        <stp>##V3_BDHV12</stp>
        <stp>XOM US Equity</stp>
        <stp>IS_NET_ABNORMAL_ITEMS</stp>
        <stp>FQ1 2001</stp>
        <stp>FQ1 2001</stp>
        <stp>[FA1_ivyerigx.xlsx]Income - Adjusted!R30C13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0" s="2"/>
      </tp>
      <tp t="s">
        <v>—</v>
        <stp/>
        <stp>##V3_BDHV12</stp>
        <stp>XOM US Equity</stp>
        <stp>IS_NET_ABNORMAL_ITEMS</stp>
        <stp>FQ4 2006</stp>
        <stp>FQ4 2006</stp>
        <stp>[FA1_ivyerigx.xlsx]Income - Adjusted!R30C36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0" s="2"/>
      </tp>
      <tp>
        <v>507</v>
        <stp/>
        <stp>##V3_BDHV12</stp>
        <stp>XOM US Equity</stp>
        <stp>CF_INCR_CAP_STOCK</stp>
        <stp>FQ4 1998</stp>
        <stp>FQ4 1998</stp>
        <stp>[FA1_ivyerigx.xlsx]Cash Flow - Standardized!R31C4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4"/>
      </tp>
      <tp>
        <v>0</v>
        <stp/>
        <stp>##V3_BDHV12</stp>
        <stp>XOM US Equity</stp>
        <stp>CF_INCR_CAP_STOCK</stp>
        <stp>FQ3 1998</stp>
        <stp>FQ3 1998</stp>
        <stp>[FA1_ivyerigx.xlsx]Cash Flow - Standardized!R31C3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1" s="4"/>
      </tp>
      <tp>
        <v>348</v>
        <stp/>
        <stp>##V3_BDHV12</stp>
        <stp>XOM US Equity</stp>
        <stp>CF_INCR_CAP_STOCK</stp>
        <stp>FQ4 1999</stp>
        <stp>FQ4 1999</stp>
        <stp>[FA1_ivyerigx.xlsx]Cash Flow - Standardized!R31C8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4"/>
      </tp>
      <tp t="s">
        <v>—</v>
        <stp/>
        <stp>##V3_BDHV12</stp>
        <stp>XOM US Equity</stp>
        <stp>IS_NET_ABNORMAL_ITEMS</stp>
        <stp>FQ2 2002</stp>
        <stp>FQ2 2002</stp>
        <stp>[FA1_ivyerigx.xlsx]Income - Adjusted!R30C18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0" s="2"/>
      </tp>
      <tp>
        <v>6858</v>
        <stp/>
        <stp>##V3_BDHV12</stp>
        <stp>XOM US Equity</stp>
        <stp>IS_SH_FOR_DILUTED_EPS</stp>
        <stp>FQ1 2002</stp>
        <stp>FQ1 2002</stp>
        <stp>[FA1_ivyerigx.xlsx]Per Share!R7C17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7" s="5"/>
      </tp>
      <tp>
        <v>6126</v>
        <stp/>
        <stp>##V3_BDHV12</stp>
        <stp>XOM US Equity</stp>
        <stp>IS_SH_FOR_DILUTED_EPS</stp>
        <stp>FQ1 2006</stp>
        <stp>FQ1 2006</stp>
        <stp>[FA1_ivyerigx.xlsx]Per Share!R7C33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7" s="5"/>
      </tp>
      <tp>
        <v>5823.86</v>
        <stp/>
        <stp>##V3_BDHV12</stp>
        <stp>XOM US Equity</stp>
        <stp>IS_SH_FOR_DILUTED_EPS</stp>
        <stp>FQ4 2006</stp>
        <stp>FQ4 2006</stp>
        <stp>[FA1_ivyerigx.xlsx]Per Share!R7C36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7" s="5"/>
      </tp>
      <tp>
        <v>0.21</v>
        <stp/>
        <stp>##V3_BDHV12</stp>
        <stp>XOM US Equity</stp>
        <stp>IS_BASIC_EPS_CONT_OPS</stp>
        <stp>FQ1 1999</stp>
        <stp>FQ1 1999</stp>
        <stp>[FA1_ivyerigx.xlsx]Per Share!R16C5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6" s="5"/>
      </tp>
      <tp>
        <v>0.25</v>
        <stp/>
        <stp>##V3_BDHV12</stp>
        <stp>XOM US Equity</stp>
        <stp>IS_BASIC_EPS_CONT_OPS</stp>
        <stp>FQ2 1999</stp>
        <stp>FQ2 1999</stp>
        <stp>[FA1_ivyerigx.xlsx]Per Share!R16C6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6" s="5"/>
      </tp>
      <tp>
        <v>0.31</v>
        <stp/>
        <stp>##V3_BDHV12</stp>
        <stp>XOM US Equity</stp>
        <stp>IS_BASIC_EPS_CONT_OPS</stp>
        <stp>FQ3 1999</stp>
        <stp>FQ3 1999</stp>
        <stp>[FA1_ivyerigx.xlsx]Per Share!R16C7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6" s="5"/>
      </tp>
      <tp>
        <v>6068</v>
        <stp/>
        <stp>##V3_BDHV12</stp>
        <stp>XOM US Equity</stp>
        <stp>IS_AVG_NUM_SH_FOR_EPS</stp>
        <stp>FQ1 2006</stp>
        <stp>FQ1 2006</stp>
        <stp>[FA1_ivyerigx.xlsx]Per Share!R8C33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8" s="5"/>
      </tp>
      <tp>
        <v>5790.96</v>
        <stp/>
        <stp>##V3_BDHV12</stp>
        <stp>XOM US Equity</stp>
        <stp>IS_AVG_NUM_SH_FOR_EPS</stp>
        <stp>FQ4 2006</stp>
        <stp>FQ4 2006</stp>
        <stp>[FA1_ivyerigx.xlsx]Per Share!R8C36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8" s="5"/>
      </tp>
      <tp>
        <v>6793</v>
        <stp/>
        <stp>##V3_BDHV12</stp>
        <stp>XOM US Equity</stp>
        <stp>IS_AVG_NUM_SH_FOR_EPS</stp>
        <stp>FQ1 2002</stp>
        <stp>FQ1 2002</stp>
        <stp>[FA1_ivyerigx.xlsx]Per Share!R8C17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8" s="5"/>
      </tp>
      <tp>
        <v>6045</v>
        <stp/>
        <stp>##V3_BDHV12</stp>
        <stp>XOM US Equity</stp>
        <stp>EBITDA</stp>
        <stp>FQ3 2002</stp>
        <stp>FQ3 2002</stp>
        <stp>[FA1_ivyerigx.xlsx]Income - Adjusted!R45C19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5" s="2"/>
      </tp>
      <tp>
        <v>15.1173</v>
        <stp/>
        <stp>##V3_BDHV12</stp>
        <stp>XOM US Equity</stp>
        <stp>EBITDA_MARGIN</stp>
        <stp>FQ4 2003</stp>
        <stp>FQ4 2003</stp>
        <stp>[FA1_ivyerigx.xlsx]Cash Flow - Standardized!R43C24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43" s="4"/>
      </tp>
      <tp>
        <v>14.3774</v>
        <stp/>
        <stp>##V3_BDHV12</stp>
        <stp>XOM US Equity</stp>
        <stp>EBITDA_MARGIN</stp>
        <stp>FQ2 2003</stp>
        <stp>FQ2 2003</stp>
        <stp>[FA1_ivyerigx.xlsx]Cash Flow - Standardized!R43C22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43" s="4"/>
      </tp>
      <tp>
        <v>14.57</v>
        <stp/>
        <stp>##V3_BDHV12</stp>
        <stp>XOM US Equity</stp>
        <stp>EBITDA_MARGIN</stp>
        <stp>FQ3 2003</stp>
        <stp>FQ3 2003</stp>
        <stp>[FA1_ivyerigx.xlsx]Cash Flow - Standardized!R43C23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43" s="4"/>
      </tp>
      <tp>
        <v>13.558999999999999</v>
        <stp/>
        <stp>##V3_BDHV12</stp>
        <stp>XOM US Equity</stp>
        <stp>EBITDA_MARGIN</stp>
        <stp>FQ1 2003</stp>
        <stp>FQ1 2003</stp>
        <stp>[FA1_ivyerigx.xlsx]Cash Flow - Standardized!R43C21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43" s="4"/>
      </tp>
      <tp>
        <v>2640</v>
        <stp/>
        <stp>##V3_BDHV12</stp>
        <stp>XOM US Equity</stp>
        <stp>NET_INCOME</stp>
        <stp>FQ3 2002</stp>
        <stp>FQ3 2002</stp>
        <stp>[FA1_ivyerigx.xlsx]Income - Adjusted!R24C19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4" s="2"/>
      </tp>
      <tp>
        <v>15641</v>
        <stp/>
        <stp>##V3_BDHV12</stp>
        <stp>XOM US Equity</stp>
        <stp>PRETAX_INC</stp>
        <stp>FQ1 2006</stp>
        <stp>FQ1 2006</stp>
        <stp>[FA1_ivyerigx.xlsx]Income - Adjusted!R18C33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18" s="2"/>
      </tp>
      <tp>
        <v>3377</v>
        <stp/>
        <stp>##V3_BDHV12</stp>
        <stp>XOM US Equity</stp>
        <stp>PRETAX_INC</stp>
        <stp>FQ1 2002</stp>
        <stp>FQ1 2002</stp>
        <stp>[FA1_ivyerigx.xlsx]Income - Adjusted!R18C17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18" s="2"/>
      </tp>
      <tp>
        <v>12958</v>
        <stp/>
        <stp>##V3_BDHV12</stp>
        <stp>XOM US Equity</stp>
        <stp>PRETAX_INC</stp>
        <stp>FQ2 2005</stp>
        <stp>FQ2 2005</stp>
        <stp>[FA1_ivyerigx.xlsx]Income - Adjusted!R18C30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18" s="2"/>
      </tp>
      <tp>
        <v>6955</v>
        <stp/>
        <stp>##V3_BDHV12</stp>
        <stp>XOM US Equity</stp>
        <stp>PRETAX_INC</stp>
        <stp>FQ2 2001</stp>
        <stp>FQ2 2001</stp>
        <stp>[FA1_ivyerigx.xlsx]Income - Adjusted!R18C14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18" s="2"/>
      </tp>
      <tp>
        <v>0</v>
        <stp/>
        <stp>##V3_BDHV12</stp>
        <stp>XOM US Equity</stp>
        <stp>XO_GL_NET_OF_TAX</stp>
        <stp>FQ2 1999</stp>
        <stp>FQ2 1999</stp>
        <stp>[FA1_ivyerigx.xlsx]Income - Adjusted!R31C6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1" s="2"/>
      </tp>
      <tp>
        <v>0</v>
        <stp/>
        <stp>##V3_BDHV12</stp>
        <stp>XOM US Equity</stp>
        <stp>XO_GL_NET_OF_TAX</stp>
        <stp>FQ2 1999</stp>
        <stp>FQ2 1999</stp>
        <stp>[FA1_ivyerigx.xlsx]Income - Adjusted!R21C6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2"/>
      </tp>
      <tp>
        <v>220</v>
        <stp/>
        <stp>##V3_BDHV12</stp>
        <stp>XOM US Equity</stp>
        <stp>BS_TOTAL_CAPITAL_LEASES</stp>
        <stp>FQ4 2006</stp>
        <stp>FQ4 2006</stp>
        <stp>[FA1_ivyerigx.xlsx]Bal Sheet - Standardized!R57C36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7" s="3"/>
      </tp>
      <tp>
        <v>37.4191</v>
        <stp/>
        <stp>##V3_BDHV12</stp>
        <stp>XOM US Equity</stp>
        <stp>GROSS_MARGIN</stp>
        <stp>FQ4 1999</stp>
        <stp>FQ4 1999</stp>
        <stp>[FA1_ivyerigx.xlsx]Income - Adjusted!R49C8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H49" s="2"/>
      </tp>
      <tp>
        <v>33.582599999999999</v>
        <stp/>
        <stp>##V3_BDHV12</stp>
        <stp>XOM US Equity</stp>
        <stp>GROSS_MARGIN</stp>
        <stp>FQ3 1999</stp>
        <stp>FQ3 1999</stp>
        <stp>[FA1_ivyerigx.xlsx]Income - Adjusted!R49C7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G49" s="2"/>
      </tp>
      <tp>
        <v>36.445900000000002</v>
        <stp/>
        <stp>##V3_BDHV12</stp>
        <stp>XOM US Equity</stp>
        <stp>GROSS_MARGIN</stp>
        <stp>FQ2 1999</stp>
        <stp>FQ2 1999</stp>
        <stp>[FA1_ivyerigx.xlsx]Income - Adjusted!R49C6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F49" s="2"/>
      </tp>
      <tp>
        <v>37.072499999999998</v>
        <stp/>
        <stp>##V3_BDHV12</stp>
        <stp>XOM US Equity</stp>
        <stp>GROSS_MARGIN</stp>
        <stp>FQ1 1999</stp>
        <stp>FQ1 1999</stp>
        <stp>[FA1_ivyerigx.xlsx]Income - Adjusted!R49C5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E49" s="2"/>
      </tp>
      <tp>
        <v>53292</v>
        <stp/>
        <stp>##V3_BDHV12</stp>
        <stp>XOM US Equity</stp>
        <stp>OTHER_NONCURRENT_LIABS_DETAILED</stp>
        <stp>FQ2 2007</stp>
        <stp>FQ2 2007</stp>
        <stp>[FA1_ivyerigx.xlsx]Bal Sheet - Standardized!R38C38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8" s="3"/>
      </tp>
      <tp>
        <v>197</v>
        <stp/>
        <stp>##V3_BDHV12</stp>
        <stp>XOM US Equity</stp>
        <stp>BS_TOTAL_CAPITAL_LEASES</stp>
        <stp>FQ4 2005</stp>
        <stp>FQ4 2005</stp>
        <stp>[FA1_ivyerigx.xlsx]Bal Sheet - Standardized!R57C32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7" s="3"/>
      </tp>
      <tp>
        <v>44520</v>
        <stp/>
        <stp>##V3_BDHV12</stp>
        <stp>XOM US Equity</stp>
        <stp>OTHER_NONCURRENT_LIABS_DETAILED</stp>
        <stp>FQ2 2005</stp>
        <stp>FQ2 2005</stp>
        <stp>[FA1_ivyerigx.xlsx]Bal Sheet - Standardized!R38C30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8" s="3"/>
      </tp>
      <tp>
        <v>38967</v>
        <stp/>
        <stp>##V3_BDHV12</stp>
        <stp>XOM US Equity</stp>
        <stp>OTHER_NONCURRENT_LIABS_DETAILED</stp>
        <stp>FQ3 2003</stp>
        <stp>FQ3 2003</stp>
        <stp>[FA1_ivyerigx.xlsx]Bal Sheet - Standardized!R38C23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8" s="3"/>
      </tp>
      <tp>
        <v>47299</v>
        <stp/>
        <stp>##V3_BDHV12</stp>
        <stp>XOM US Equity</stp>
        <stp>OTHER_NONCURRENT_LIABS_DETAILED</stp>
        <stp>FQ2 2006</stp>
        <stp>FQ2 2006</stp>
        <stp>[FA1_ivyerigx.xlsx]Bal Sheet - Standardized!R38C34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8" s="3"/>
      </tp>
      <tp>
        <v>42600</v>
        <stp/>
        <stp>##V3_BDHV12</stp>
        <stp>XOM US Equity</stp>
        <stp>OTHER_NONCURRENT_LIABS_DETAILED</stp>
        <stp>FQ3 2004</stp>
        <stp>FQ3 2004</stp>
        <stp>[FA1_ivyerigx.xlsx]Bal Sheet - Standardized!R38C27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8" s="3"/>
      </tp>
      <tp t="s">
        <v>—</v>
        <stp/>
        <stp>##V3_BDHV12</stp>
        <stp>XOM US Equity</stp>
        <stp>IS_NET_ABNORMAL_ITEMS</stp>
        <stp>FQ3 2000</stp>
        <stp>FQ3 2000</stp>
        <stp>[FA1_ivyerigx.xlsx]Income - Adjusted!R30C11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0" s="2"/>
      </tp>
      <tp t="s">
        <v>—</v>
        <stp/>
        <stp>##V3_BDHV12</stp>
        <stp>XOM US Equity</stp>
        <stp>IS_NET_ABNORMAL_ITEMS</stp>
        <stp>FQ3 2003</stp>
        <stp>FQ3 2003</stp>
        <stp>[FA1_ivyerigx.xlsx]Income - Adjusted!R30C23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0" s="2"/>
      </tp>
      <tp t="s">
        <v>—</v>
        <stp/>
        <stp>##V3_BDHV12</stp>
        <stp>XOM US Equity</stp>
        <stp>IS_NET_ABNORMAL_ITEMS</stp>
        <stp>FQ4 2005</stp>
        <stp>FQ4 2005</stp>
        <stp>[FA1_ivyerigx.xlsx]Income - Adjusted!R30C32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0" s="2"/>
      </tp>
      <tp t="s">
        <v>—</v>
        <stp/>
        <stp>##V3_BDHV12</stp>
        <stp>XOM US Equity</stp>
        <stp>IS_NET_ABNORMAL_ITEMS</stp>
        <stp>FQ1 2002</stp>
        <stp>FQ1 2002</stp>
        <stp>[FA1_ivyerigx.xlsx]Income - Adjusted!R30C17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0" s="2"/>
      </tp>
      <tp t="s">
        <v>—</v>
        <stp/>
        <stp>##V3_BDHV12</stp>
        <stp>XOM US Equity</stp>
        <stp>IS_NET_ABNORMAL_ITEMS</stp>
        <stp>FQ2 2001</stp>
        <stp>FQ2 2001</stp>
        <stp>[FA1_ivyerigx.xlsx]Income - Adjusted!R30C14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0" s="2"/>
      </tp>
      <tp t="s">
        <v>—</v>
        <stp/>
        <stp>##V3_BDHV12</stp>
        <stp>XOM US Equity</stp>
        <stp>IS_NET_ABNORMAL_ITEMS</stp>
        <stp>FQ4 2004</stp>
        <stp>FQ4 2004</stp>
        <stp>[FA1_ivyerigx.xlsx]Income - Adjusted!R30C28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0" s="2"/>
      </tp>
      <tp>
        <v>1530</v>
        <stp/>
        <stp>##V3_BDHV12</stp>
        <stp>XOM US Equity</stp>
        <stp>NET_INCOME</stp>
        <stp>FQ4 1998</stp>
        <stp>FQ4 1998</stp>
        <stp>[FA1_ivyerigx.xlsx]Income - Adjusted!R24C4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4" s="2"/>
      </tp>
      <tp>
        <v>1400</v>
        <stp/>
        <stp>##V3_BDHV12</stp>
        <stp>XOM US Equity</stp>
        <stp>NET_INCOME</stp>
        <stp>FQ3 1998</stp>
        <stp>FQ3 1998</stp>
        <stp>[FA1_ivyerigx.xlsx]Income - Adjusted!R24C3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4" s="2"/>
      </tp>
      <tp>
        <v>4408</v>
        <stp/>
        <stp>##V3_BDHV12</stp>
        <stp>XOM US Equity</stp>
        <stp>PRETAX_INC</stp>
        <stp>FQ4 1999</stp>
        <stp>FQ4 1999</stp>
        <stp>[FA1_ivyerigx.xlsx]Income - Adjusted!R18C8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18" s="2"/>
      </tp>
      <tp>
        <v>6924</v>
        <stp/>
        <stp>##V3_BDHV12</stp>
        <stp>XOM US Equity</stp>
        <stp>IS_SH_FOR_DILUTED_EPS</stp>
        <stp>FQ3 2001</stp>
        <stp>FQ3 2001</stp>
        <stp>[FA1_ivyerigx.xlsx]Per Share!R7C15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7" s="5"/>
      </tp>
      <tp>
        <v>6963</v>
        <stp/>
        <stp>##V3_BDHV12</stp>
        <stp>XOM US Equity</stp>
        <stp>IS_SH_FOR_DILUTED_EPS</stp>
        <stp>FQ2 2001</stp>
        <stp>FQ2 2001</stp>
        <stp>[FA1_ivyerigx.xlsx]Per Share!R7C14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7" s="5"/>
      </tp>
      <tp>
        <v>6303</v>
        <stp/>
        <stp>##V3_BDHV12</stp>
        <stp>XOM US Equity</stp>
        <stp>IS_SH_FOR_DILUTED_EPS</stp>
        <stp>FQ3 2005</stp>
        <stp>FQ3 2005</stp>
        <stp>[FA1_ivyerigx.xlsx]Per Share!R7C31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7" s="5"/>
      </tp>
      <tp>
        <v>6370</v>
        <stp/>
        <stp>##V3_BDHV12</stp>
        <stp>XOM US Equity</stp>
        <stp>IS_SH_FOR_DILUTED_EPS</stp>
        <stp>FQ2 2005</stp>
        <stp>FQ2 2005</stp>
        <stp>[FA1_ivyerigx.xlsx]Per Share!R7C30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7" s="5"/>
      </tp>
      <tp>
        <v>6310</v>
        <stp/>
        <stp>##V3_BDHV12</stp>
        <stp>XOM US Equity</stp>
        <stp>IS_AVG_NUM_SH_FOR_EPS</stp>
        <stp>FQ2 2005</stp>
        <stp>FQ2 2005</stp>
        <stp>[FA1_ivyerigx.xlsx]Per Share!R8C30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8" s="5"/>
      </tp>
      <tp>
        <v>6241</v>
        <stp/>
        <stp>##V3_BDHV12</stp>
        <stp>XOM US Equity</stp>
        <stp>IS_AVG_NUM_SH_FOR_EPS</stp>
        <stp>FQ3 2005</stp>
        <stp>FQ3 2005</stp>
        <stp>[FA1_ivyerigx.xlsx]Per Share!R8C31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8" s="5"/>
      </tp>
      <tp>
        <v>6883</v>
        <stp/>
        <stp>##V3_BDHV12</stp>
        <stp>XOM US Equity</stp>
        <stp>IS_AVG_NUM_SH_FOR_EPS</stp>
        <stp>FQ2 2001</stp>
        <stp>FQ2 2001</stp>
        <stp>[FA1_ivyerigx.xlsx]Per Share!R8C14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8" s="5"/>
      </tp>
      <tp>
        <v>6852</v>
        <stp/>
        <stp>##V3_BDHV12</stp>
        <stp>XOM US Equity</stp>
        <stp>IS_AVG_NUM_SH_FOR_EPS</stp>
        <stp>FQ3 2001</stp>
        <stp>FQ3 2001</stp>
        <stp>[FA1_ivyerigx.xlsx]Per Share!R8C15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8" s="5"/>
      </tp>
      <tp>
        <v>16.1629</v>
        <stp/>
        <stp>##V3_BDHV12</stp>
        <stp>XOM US Equity</stp>
        <stp>EBITDA_MARGIN</stp>
        <stp>FQ4 2000</stp>
        <stp>FQ4 2000</stp>
        <stp>[FA1_ivyerigx.xlsx]Cash Flow - Standardized!R43C12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43" s="4"/>
      </tp>
      <tp>
        <v>14.3893</v>
        <stp/>
        <stp>##V3_BDHV12</stp>
        <stp>XOM US Equity</stp>
        <stp>EBITDA_MARGIN</stp>
        <stp>FQ3 2000</stp>
        <stp>FQ3 2000</stp>
        <stp>[FA1_ivyerigx.xlsx]Cash Flow - Standardized!R43C11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43" s="4"/>
      </tp>
      <tp>
        <v>13.663499999999999</v>
        <stp/>
        <stp>##V3_BDHV12</stp>
        <stp>XOM US Equity</stp>
        <stp>EBITDA_MARGIN</stp>
        <stp>FQ2 2000</stp>
        <stp>FQ2 2000</stp>
        <stp>[FA1_ivyerigx.xlsx]Cash Flow - Standardized!R43C10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43" s="4"/>
      </tp>
      <tp>
        <v>1807</v>
        <stp/>
        <stp>##V3_BDHV12</stp>
        <stp>XOM US Equity</stp>
        <stp>MINORITY_NONCONTROLLING_INTEREST</stp>
        <stp>FQ4 1998</stp>
        <stp>FQ4 1998</stp>
        <stp>[FA1_ivyerigx.xlsx]Bal Sheet - Standardized!R47C4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47" s="3"/>
      </tp>
      <tp t="s">
        <v>—</v>
        <stp/>
        <stp>##V3_BDHV12</stp>
        <stp>XOM US Equity</stp>
        <stp>MINORITY_NONCONTROLLING_INTEREST</stp>
        <stp>FQ3 1998</stp>
        <stp>FQ3 1998</stp>
        <stp>[FA1_ivyerigx.xlsx]Bal Sheet - Standardized!R47C3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47" s="3"/>
      </tp>
      <tp>
        <v>-455</v>
        <stp/>
        <stp>##V3_BDHV12</stp>
        <stp>XOM US Equity</stp>
        <stp>XO_GL_NET_OF_TAX</stp>
        <stp>FQ1 2000</stp>
        <stp>FQ1 2000</stp>
        <stp>[FA1_ivyerigx.xlsx]Income - Adjusted!R31C9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1" s="2"/>
      </tp>
      <tp>
        <v>-455</v>
        <stp/>
        <stp>##V3_BDHV12</stp>
        <stp>XOM US Equity</stp>
        <stp>XO_GL_NET_OF_TAX</stp>
        <stp>FQ1 2000</stp>
        <stp>FQ1 2000</stp>
        <stp>[FA1_ivyerigx.xlsx]Income - Adjusted!R21C9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2"/>
      </tp>
      <tp t="s">
        <v>—</v>
        <stp/>
        <stp>##V3_BDHV12</stp>
        <stp>XOM US Equity</stp>
        <stp>MINORITY_NONCONTROLLING_INTEREST</stp>
        <stp>FQ1 1999</stp>
        <stp>FQ1 1999</stp>
        <stp>[FA1_ivyerigx.xlsx]Bal Sheet - Standardized!R47C5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47" s="3"/>
      </tp>
      <tp>
        <v>0</v>
        <stp/>
        <stp>##V3_BDHV12</stp>
        <stp>XOM US Equity</stp>
        <stp>MINORITY_NONCONTROLLING_INTEREST</stp>
        <stp>FQ2 1999</stp>
        <stp>FQ2 1999</stp>
        <stp>[FA1_ivyerigx.xlsx]Bal Sheet - Standardized!R47C6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47" s="3"/>
      </tp>
      <tp>
        <v>0</v>
        <stp/>
        <stp>##V3_BDHV12</stp>
        <stp>XOM US Equity</stp>
        <stp>MINORITY_NONCONTROLLING_INTEREST</stp>
        <stp>FQ3 1999</stp>
        <stp>FQ3 1999</stp>
        <stp>[FA1_ivyerigx.xlsx]Bal Sheet - Standardized!R47C7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47" s="3"/>
      </tp>
      <tp>
        <v>0</v>
        <stp/>
        <stp>##V3_BDHV12</stp>
        <stp>XOM US Equity</stp>
        <stp>XO_GL_NET_OF_TAX</stp>
        <stp>FQ1 1999</stp>
        <stp>FQ1 1999</stp>
        <stp>[FA1_ivyerigx.xlsx]Income - Adjusted!R31C5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1" s="2"/>
      </tp>
      <tp>
        <v>0</v>
        <stp/>
        <stp>##V3_BDHV12</stp>
        <stp>XOM US Equity</stp>
        <stp>XO_GL_NET_OF_TAX</stp>
        <stp>FQ1 1999</stp>
        <stp>FQ1 1999</stp>
        <stp>[FA1_ivyerigx.xlsx]Income - Adjusted!R21C5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2"/>
      </tp>
      <tp>
        <v>3688</v>
        <stp/>
        <stp>##V3_BDHV12</stp>
        <stp>XOM US Equity</stp>
        <stp>MINORITY_NONCONTROLLING_INTEREST</stp>
        <stp>FQ4 1999</stp>
        <stp>FQ4 1999</stp>
        <stp>[FA1_ivyerigx.xlsx]Bal Sheet - Standardized!R47C8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47" s="3"/>
      </tp>
      <tp>
        <v>34614</v>
        <stp/>
        <stp>##V3_BDHV12</stp>
        <stp>XOM US Equity</stp>
        <stp>OTHER_NONCURRENT_LIABS_DETAILED</stp>
        <stp>FQ3 2002</stp>
        <stp>FQ3 2002</stp>
        <stp>[FA1_ivyerigx.xlsx]Bal Sheet - Standardized!R38C19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8" s="3"/>
      </tp>
      <tp>
        <v>32274</v>
        <stp/>
        <stp>##V3_BDHV12</stp>
        <stp>XOM US Equity</stp>
        <stp>OTHER_NONCURRENT_LIABS_DETAILED</stp>
        <stp>FQ3 2001</stp>
        <stp>FQ3 2001</stp>
        <stp>[FA1_ivyerigx.xlsx]Bal Sheet - Standardized!R38C15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8" s="3"/>
      </tp>
      <tp>
        <v>45850</v>
        <stp/>
        <stp>##V3_BDHV12</stp>
        <stp>XOM US Equity</stp>
        <stp>OTHER_NONCURRENT_LIABS_DETAILED</stp>
        <stp>FQ1 2006</stp>
        <stp>FQ1 2006</stp>
        <stp>[FA1_ivyerigx.xlsx]Bal Sheet - Standardized!R38C33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8" s="3"/>
      </tp>
      <tp>
        <v>32838</v>
        <stp/>
        <stp>##V3_BDHV12</stp>
        <stp>XOM US Equity</stp>
        <stp>OTHER_NONCURRENT_LIABS_DETAILED</stp>
        <stp>FQ3 2000</stp>
        <stp>FQ3 2000</stp>
        <stp>[FA1_ivyerigx.xlsx]Bal Sheet - Standardized!R38C11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8" s="3"/>
      </tp>
      <tp>
        <v>51841</v>
        <stp/>
        <stp>##V3_BDHV12</stp>
        <stp>XOM US Equity</stp>
        <stp>OTHER_NONCURRENT_LIABS_DETAILED</stp>
        <stp>FQ1 2007</stp>
        <stp>FQ1 2007</stp>
        <stp>[FA1_ivyerigx.xlsx]Bal Sheet - Standardized!R38C37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8" s="3"/>
      </tp>
      <tp t="s">
        <v>—</v>
        <stp/>
        <stp>##V3_BDHV12</stp>
        <stp>XOM US Equity</stp>
        <stp>IS_NET_ABNORMAL_ITEMS</stp>
        <stp>FQ2 2003</stp>
        <stp>FQ2 2003</stp>
        <stp>[FA1_ivyerigx.xlsx]Income - Adjusted!R30C22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0" s="2"/>
      </tp>
      <tp t="s">
        <v>—</v>
        <stp/>
        <stp>##V3_BDHV12</stp>
        <stp>XOM US Equity</stp>
        <stp>IS_NET_ABNORMAL_ITEMS</stp>
        <stp>FQ2 2000</stp>
        <stp>FQ2 2000</stp>
        <stp>[FA1_ivyerigx.xlsx]Income - Adjusted!R30C10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0" s="2"/>
      </tp>
      <tp t="s">
        <v>—</v>
        <stp/>
        <stp>##V3_BDHV12</stp>
        <stp>XOM US Equity</stp>
        <stp>IS_NET_ABNORMAL_ITEMS</stp>
        <stp>FQ3 2001</stp>
        <stp>FQ3 2001</stp>
        <stp>[FA1_ivyerigx.xlsx]Income - Adjusted!R30C15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0" s="2"/>
      </tp>
      <tp>
        <v>47780</v>
        <stp/>
        <stp>##V3_BDHV12</stp>
        <stp>XOM US Equity</stp>
        <stp>SALES_REV_TURN</stp>
        <stp>FQ1 2000</stp>
        <stp>FQ1 2000</stp>
        <stp>[FA1_ivyerigx.xlsx]Income - Adjusted!R6C9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2"/>
      </tp>
      <tp>
        <v>1.0584</v>
        <stp/>
        <stp>##V3_BDHV12</stp>
        <stp>XOM US Equity</stp>
        <stp>EBITDA_PER_SH</stp>
        <stp>FQ1 2000</stp>
        <stp>FQ1 2000</stp>
        <stp>[FA1_ivyerigx.xlsx]Per Share!R12C9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I12" s="5"/>
      </tp>
      <tp>
        <v>6755</v>
        <stp/>
        <stp>##V3_BDHV12</stp>
        <stp>XOM US Equity</stp>
        <stp>IS_SH_FOR_DILUTED_EPS</stp>
        <stp>FQ4 2002</stp>
        <stp>FQ4 2002</stp>
        <stp>[FA1_ivyerigx.xlsx]Per Share!R7C20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7" s="5"/>
      </tp>
      <tp>
        <v>7027</v>
        <stp/>
        <stp>##V3_BDHV12</stp>
        <stp>XOM US Equity</stp>
        <stp>IS_SH_FOR_DILUTED_EPS</stp>
        <stp>FQ4 2000</stp>
        <stp>FQ4 2000</stp>
        <stp>[FA1_ivyerigx.xlsx]Per Share!R7C12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7" s="5"/>
      </tp>
      <tp t="s">
        <v>—</v>
        <stp/>
        <stp>##V3_BDHV12</stp>
        <stp>XOM US Equity</stp>
        <stp>IS_OTHER_OPER_INC</stp>
        <stp>FQ3 2007</stp>
        <stp>FQ3 2007</stp>
        <stp>[FA1_ivyerigx.xlsx]Income - Adjusted!R9C39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9" s="2"/>
      </tp>
      <tp t="s">
        <v>—</v>
        <stp/>
        <stp>##V3_BDHV12</stp>
        <stp>XOM US Equity</stp>
        <stp>IS_OTHER_OPER_INC</stp>
        <stp>FQ2 2007</stp>
        <stp>FQ2 2007</stp>
        <stp>[FA1_ivyerigx.xlsx]Income - Adjusted!R9C38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9" s="2"/>
      </tp>
      <tp t="s">
        <v>—</v>
        <stp/>
        <stp>##V3_BDHV12</stp>
        <stp>XOM US Equity</stp>
        <stp>IS_OTHER_OPER_INC</stp>
        <stp>FQ1 2005</stp>
        <stp>FQ1 2005</stp>
        <stp>[FA1_ivyerigx.xlsx]Income - Adjusted!R9C29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9" s="2"/>
      </tp>
      <tp>
        <v>6938</v>
        <stp/>
        <stp>##V3_BDHV12</stp>
        <stp>XOM US Equity</stp>
        <stp>IS_AVG_NUM_SH_FOR_EPS</stp>
        <stp>FQ4 2000</stp>
        <stp>FQ4 2000</stp>
        <stp>[FA1_ivyerigx.xlsx]Per Share!R8C12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8" s="5"/>
      </tp>
      <tp>
        <v>6712</v>
        <stp/>
        <stp>##V3_BDHV12</stp>
        <stp>XOM US Equity</stp>
        <stp>IS_AVG_NUM_SH_FOR_EPS</stp>
        <stp>FQ4 2002</stp>
        <stp>FQ4 2002</stp>
        <stp>[FA1_ivyerigx.xlsx]Per Share!R8C20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8" s="5"/>
      </tp>
      <tp>
        <v>17211</v>
        <stp/>
        <stp>##V3_BDHV12</stp>
        <stp>XOM US Equity</stp>
        <stp>NET_DEBT</stp>
        <stp>FQ4 1999</stp>
        <stp>FQ4 1999</stp>
        <stp>[FA1_ivyerigx.xlsx]Bal Sheet - Standardized!R60C8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60" s="3"/>
      </tp>
      <tp>
        <v>20899</v>
        <stp/>
        <stp>##V3_BDHV12</stp>
        <stp>XOM US Equity</stp>
        <stp>EBITDA</stp>
        <stp>FQ1 2008</stp>
        <stp>FQ1 2008</stp>
        <stp>[FA1_ivyerigx.xlsx]Income - Adjusted!R45C41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5" s="2"/>
      </tp>
      <tp>
        <v>15.3261</v>
        <stp/>
        <stp>##V3_BDHV12</stp>
        <stp>XOM US Equity</stp>
        <stp>EBITDA_MARGIN</stp>
        <stp>FQ4 2001</stp>
        <stp>FQ4 2001</stp>
        <stp>[FA1_ivyerigx.xlsx]Cash Flow - Standardized!R43C16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43" s="4"/>
      </tp>
      <tp>
        <v>16.896999999999998</v>
        <stp/>
        <stp>##V3_BDHV12</stp>
        <stp>XOM US Equity</stp>
        <stp>EBITDA_MARGIN</stp>
        <stp>FQ1 2001</stp>
        <stp>FQ1 2001</stp>
        <stp>[FA1_ivyerigx.xlsx]Cash Flow - Standardized!R43C13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43" s="4"/>
      </tp>
      <tp>
        <v>16.605</v>
        <stp/>
        <stp>##V3_BDHV12</stp>
        <stp>XOM US Equity</stp>
        <stp>EBITDA_MARGIN</stp>
        <stp>FQ3 2001</stp>
        <stp>FQ3 2001</stp>
        <stp>[FA1_ivyerigx.xlsx]Cash Flow - Standardized!R43C15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43" s="4"/>
      </tp>
      <tp>
        <v>16.825399999999998</v>
        <stp/>
        <stp>##V3_BDHV12</stp>
        <stp>XOM US Equity</stp>
        <stp>EBITDA_MARGIN</stp>
        <stp>FQ2 2001</stp>
        <stp>FQ2 2001</stp>
        <stp>[FA1_ivyerigx.xlsx]Cash Flow - Standardized!R43C14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43" s="4"/>
      </tp>
      <tp>
        <v>8055</v>
        <stp/>
        <stp>##V3_BDHV12</stp>
        <stp>XOM US Equity</stp>
        <stp>NET_DEBT</stp>
        <stp>FQ3 1999</stp>
        <stp>FQ3 1999</stp>
        <stp>[FA1_ivyerigx.xlsx]Bal Sheet - Standardized!R60C7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60" s="3"/>
      </tp>
      <tp>
        <v>7919</v>
        <stp/>
        <stp>##V3_BDHV12</stp>
        <stp>XOM US Equity</stp>
        <stp>NET_DEBT</stp>
        <stp>FQ2 1999</stp>
        <stp>FQ2 1999</stp>
        <stp>[FA1_ivyerigx.xlsx]Bal Sheet - Standardized!R60C6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60" s="3"/>
      </tp>
      <tp>
        <v>6995</v>
        <stp/>
        <stp>##V3_BDHV12</stp>
        <stp>XOM US Equity</stp>
        <stp>NET_DEBT</stp>
        <stp>FQ1 1999</stp>
        <stp>FQ1 1999</stp>
        <stp>[FA1_ivyerigx.xlsx]Bal Sheet - Standardized!R60C5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60" s="3"/>
      </tp>
      <tp>
        <v>10890</v>
        <stp/>
        <stp>##V3_BDHV12</stp>
        <stp>XOM US Equity</stp>
        <stp>NET_INCOME</stp>
        <stp>FQ1 2008</stp>
        <stp>FQ1 2008</stp>
        <stp>[FA1_ivyerigx.xlsx]Income - Adjusted!R24C41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4" s="2"/>
      </tp>
      <tp>
        <v>57</v>
        <stp/>
        <stp>##V3_BDHV12</stp>
        <stp>XOM US Equity</stp>
        <stp>BS_MKT_SEC_OTHER_ST_INVEST</stp>
        <stp>FQ1 2000</stp>
        <stp>FQ1 2000</stp>
        <stp>[FA1_ivyerigx.xlsx]Bal Sheet - Standardized!R9C9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9" s="3"/>
      </tp>
      <tp>
        <v>7317</v>
        <stp/>
        <stp>##V3_BDHV12</stp>
        <stp>XOM US Equity</stp>
        <stp>NET_DEBT</stp>
        <stp>FQ4 1998</stp>
        <stp>FQ4 1998</stp>
        <stp>[FA1_ivyerigx.xlsx]Bal Sheet - Standardized!R60C4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60" s="3"/>
      </tp>
      <tp>
        <v>7342</v>
        <stp/>
        <stp>##V3_BDHV12</stp>
        <stp>XOM US Equity</stp>
        <stp>NET_DEBT</stp>
        <stp>FQ3 1998</stp>
        <stp>FQ3 1998</stp>
        <stp>[FA1_ivyerigx.xlsx]Bal Sheet - Standardized!R60C3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60" s="3"/>
      </tp>
      <tp>
        <v>20005</v>
        <stp/>
        <stp>##V3_BDHV12</stp>
        <stp>XOM US Equity</stp>
        <stp>PRETAX_INC</stp>
        <stp>FQ4 2007</stp>
        <stp>FQ4 2007</stp>
        <stp>[FA1_ivyerigx.xlsx]Income - Adjusted!R18C40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18" s="2"/>
      </tp>
      <tp>
        <v>3936</v>
        <stp/>
        <stp>##V3_BDHV12</stp>
        <stp>XOM US Equity</stp>
        <stp>PRETAX_INC</stp>
        <stp>FQ4 2001</stp>
        <stp>FQ4 2001</stp>
        <stp>[FA1_ivyerigx.xlsx]Income - Adjusted!R18C16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18" s="2"/>
      </tp>
      <tp>
        <v>9498</v>
        <stp/>
        <stp>##V3_BDHV12</stp>
        <stp>XOM US Equity</stp>
        <stp>PRETAX_INC</stp>
        <stp>FQ4 2003</stp>
        <stp>FQ4 2003</stp>
        <stp>[FA1_ivyerigx.xlsx]Income - Adjusted!R18C24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18" s="2"/>
      </tp>
      <tp>
        <v>18049</v>
        <stp/>
        <stp>##V3_BDHV12</stp>
        <stp>XOM US Equity</stp>
        <stp>PRETAX_INC</stp>
        <stp>FQ4 2005</stp>
        <stp>FQ4 2005</stp>
        <stp>[FA1_ivyerigx.xlsx]Income - Adjusted!R18C32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18" s="2"/>
      </tp>
      <tp>
        <v>19083</v>
        <stp/>
        <stp>##V3_BDHV12</stp>
        <stp>XOM US Equity</stp>
        <stp>BS_ACCT_NOTE_RCV</stp>
        <stp>FQ1 2000</stp>
        <stp>FQ1 2000</stp>
        <stp>[FA1_ivyerigx.xlsx]Bal Sheet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3"/>
      </tp>
      <tp>
        <v>44782</v>
        <stp/>
        <stp>##V3_BDHV12</stp>
        <stp>XOM US Equity</stp>
        <stp>OTHER_NONCURRENT_LIABS_DETAILED</stp>
        <stp>FQ1 2005</stp>
        <stp>FQ1 2005</stp>
        <stp>[FA1_ivyerigx.xlsx]Bal Sheet - Standardized!R38C29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8" s="3"/>
      </tp>
      <tp>
        <v>252</v>
        <stp/>
        <stp>##V3_BDHV12</stp>
        <stp>XOM US Equity</stp>
        <stp>BS_TOTAL_CAPITAL_LEASES</stp>
        <stp>FQ4 2000</stp>
        <stp>FQ4 2000</stp>
        <stp>[FA1_ivyerigx.xlsx]Bal Sheet - Standardized!R57C12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7" s="3"/>
      </tp>
      <tp>
        <v>34265</v>
        <stp/>
        <stp>##V3_BDHV12</stp>
        <stp>XOM US Equity</stp>
        <stp>OTHER_NONCURRENT_LIABS_DETAILED</stp>
        <stp>FQ2 2002</stp>
        <stp>FQ2 2002</stp>
        <stp>[FA1_ivyerigx.xlsx]Bal Sheet - Standardized!R38C18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8" s="3"/>
      </tp>
      <tp>
        <v>266</v>
        <stp/>
        <stp>##V3_BDHV12</stp>
        <stp>XOM US Equity</stp>
        <stp>BS_TOTAL_CAPITAL_LEASES</stp>
        <stp>FQ4 2001</stp>
        <stp>FQ4 2001</stp>
        <stp>[FA1_ivyerigx.xlsx]Bal Sheet - Standardized!R57C16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7" s="3"/>
      </tp>
      <tp>
        <v>31783</v>
        <stp/>
        <stp>##V3_BDHV12</stp>
        <stp>XOM US Equity</stp>
        <stp>OTHER_NONCURRENT_LIABS_DETAILED</stp>
        <stp>FQ2 2001</stp>
        <stp>FQ2 2001</stp>
        <stp>[FA1_ivyerigx.xlsx]Bal Sheet - Standardized!R38C14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8" s="3"/>
      </tp>
      <tp>
        <v>38769</v>
        <stp/>
        <stp>##V3_BDHV12</stp>
        <stp>XOM US Equity</stp>
        <stp>OTHER_NONCURRENT_LIABS_DETAILED</stp>
        <stp>FQ1 2003</stp>
        <stp>FQ1 2003</stp>
        <stp>[FA1_ivyerigx.xlsx]Bal Sheet - Standardized!R38C21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8" s="3"/>
      </tp>
      <tp t="s">
        <v>—</v>
        <stp/>
        <stp>##V3_BDHV12</stp>
        <stp>XOM US Equity</stp>
        <stp>BS_TOTAL_CAPITAL_LEASES</stp>
        <stp>FQ1 2008</stp>
        <stp>FQ1 2008</stp>
        <stp>[FA1_ivyerigx.xlsx]Bal Sheet - Standardized!R57C41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7" s="3"/>
      </tp>
      <tp>
        <v>33081</v>
        <stp/>
        <stp>##V3_BDHV12</stp>
        <stp>XOM US Equity</stp>
        <stp>OTHER_NONCURRENT_LIABS_DETAILED</stp>
        <stp>FQ2 2000</stp>
        <stp>FQ2 2000</stp>
        <stp>[FA1_ivyerigx.xlsx]Bal Sheet - Standardized!R38C10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8" s="3"/>
      </tp>
      <tp>
        <v>41431</v>
        <stp/>
        <stp>##V3_BDHV12</stp>
        <stp>XOM US Equity</stp>
        <stp>OTHER_NONCURRENT_LIABS_DETAILED</stp>
        <stp>FQ1 2004</stp>
        <stp>FQ1 2004</stp>
        <stp>[FA1_ivyerigx.xlsx]Bal Sheet - Standardized!R38C25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8" s="3"/>
      </tp>
      <tp t="s">
        <v>—</v>
        <stp/>
        <stp>##V3_BDHV12</stp>
        <stp>XOM US Equity</stp>
        <stp>IS_NET_ABNORMAL_ITEMS</stp>
        <stp>FQ2 2004</stp>
        <stp>FQ2 2004</stp>
        <stp>[FA1_ivyerigx.xlsx]Income - Adjusted!R30C26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0" s="2"/>
      </tp>
      <tp t="s">
        <v>—</v>
        <stp/>
        <stp>##V3_BDHV12</stp>
        <stp>XOM US Equity</stp>
        <stp>IS_NET_ABNORMAL_ITEMS</stp>
        <stp>FQ4 2002</stp>
        <stp>FQ4 2002</stp>
        <stp>[FA1_ivyerigx.xlsx]Income - Adjusted!R30C20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0" s="2"/>
      </tp>
      <tp t="s">
        <v>—</v>
        <stp/>
        <stp>##V3_BDHV12</stp>
        <stp>XOM US Equity</stp>
        <stp>IS_NET_ABNORMAL_ITEMS</stp>
        <stp>FQ4 2001</stp>
        <stp>FQ4 2001</stp>
        <stp>[FA1_ivyerigx.xlsx]Income - Adjusted!R30C16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0" s="2"/>
      </tp>
      <tp t="s">
        <v>—</v>
        <stp/>
        <stp>##V3_BDHV12</stp>
        <stp>XOM US Equity</stp>
        <stp>IS_NET_ABNORMAL_ITEMS</stp>
        <stp>FQ1 2006</stp>
        <stp>FQ1 2006</stp>
        <stp>[FA1_ivyerigx.xlsx]Income - Adjusted!R30C33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0" s="2"/>
      </tp>
      <tp t="s">
        <v>—</v>
        <stp/>
        <stp>##V3_BDHV12</stp>
        <stp>XOM US Equity</stp>
        <stp>IS_NET_ABNORMAL_ITEMS</stp>
        <stp>FQ2 2005</stp>
        <stp>FQ2 2005</stp>
        <stp>[FA1_ivyerigx.xlsx]Income - Adjusted!R30C30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0" s="2"/>
      </tp>
      <tp>
        <v>5714</v>
        <stp/>
        <stp>##V3_BDHV12</stp>
        <stp>XOM US Equity</stp>
        <stp>IS_SH_FOR_DILUTED_EPS</stp>
        <stp>FQ1 2007</stp>
        <stp>FQ1 2007</stp>
        <stp>[FA1_ivyerigx.xlsx]Per Share!R7C37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7" s="5"/>
      </tp>
      <tp>
        <v>0.315</v>
        <stp/>
        <stp>##V3_BDHV12</stp>
        <stp>XOM US Equity</stp>
        <stp>IS_BASIC_EPS_CONT_OPS</stp>
        <stp>FQ4 1998</stp>
        <stp>FQ4 1998</stp>
        <stp>[FA1_ivyerigx.xlsx]Per Share!R16C4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6" s="5"/>
      </tp>
      <tp>
        <v>0.28999999999999998</v>
        <stp/>
        <stp>##V3_BDHV12</stp>
        <stp>XOM US Equity</stp>
        <stp>IS_BASIC_EPS_CONT_OPS</stp>
        <stp>FQ3 1998</stp>
        <stp>FQ3 1998</stp>
        <stp>[FA1_ivyerigx.xlsx]Per Share!R16C3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6" s="5"/>
      </tp>
      <tp>
        <v>5650</v>
        <stp/>
        <stp>##V3_BDHV12</stp>
        <stp>XOM US Equity</stp>
        <stp>IS_AVG_NUM_SH_FOR_EPS</stp>
        <stp>FQ1 2007</stp>
        <stp>FQ1 2007</stp>
        <stp>[FA1_ivyerigx.xlsx]Per Share!R8C37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8" s="5"/>
      </tp>
      <tp>
        <v>17069</v>
        <stp/>
        <stp>##V3_BDHV12</stp>
        <stp>XOM US Equity</stp>
        <stp>EBITDA</stp>
        <stp>FQ3 2007</stp>
        <stp>FQ3 2007</stp>
        <stp>[FA1_ivyerigx.xlsx]Income - Adjusted!R45C39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5" s="2"/>
      </tp>
      <tp>
        <v>20.3992</v>
        <stp/>
        <stp>##V3_BDHV12</stp>
        <stp>XOM US Equity</stp>
        <stp>EBITDA_MARGIN</stp>
        <stp>FQ4 2006</stp>
        <stp>FQ4 2006</stp>
        <stp>[FA1_ivyerigx.xlsx]Cash Flow - Standardized!R43C36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43" s="4"/>
      </tp>
      <tp>
        <v>20.3581</v>
        <stp/>
        <stp>##V3_BDHV12</stp>
        <stp>XOM US Equity</stp>
        <stp>EBITDA_MARGIN</stp>
        <stp>FQ3 2006</stp>
        <stp>FQ3 2006</stp>
        <stp>[FA1_ivyerigx.xlsx]Cash Flow - Standardized!R43C35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43" s="4"/>
      </tp>
      <tp>
        <v>19.3843</v>
        <stp/>
        <stp>##V3_BDHV12</stp>
        <stp>XOM US Equity</stp>
        <stp>EBITDA_MARGIN</stp>
        <stp>FQ2 2006</stp>
        <stp>FQ2 2006</stp>
        <stp>[FA1_ivyerigx.xlsx]Cash Flow - Standardized!R43C34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43" s="4"/>
      </tp>
      <tp>
        <v>18.531300000000002</v>
        <stp/>
        <stp>##V3_BDHV12</stp>
        <stp>XOM US Equity</stp>
        <stp>EBITDA_MARGIN</stp>
        <stp>FQ1 2006</stp>
        <stp>FQ1 2006</stp>
        <stp>[FA1_ivyerigx.xlsx]Cash Flow - Standardized!R43C33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43" s="4"/>
      </tp>
      <tp>
        <v>9410</v>
        <stp/>
        <stp>##V3_BDHV12</stp>
        <stp>XOM US Equity</stp>
        <stp>NET_INCOME</stp>
        <stp>FQ3 2007</stp>
        <stp>FQ3 2007</stp>
        <stp>[FA1_ivyerigx.xlsx]Income - Adjusted!R24C39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4" s="2"/>
      </tp>
      <tp>
        <v>15885</v>
        <stp/>
        <stp>##V3_BDHV12</stp>
        <stp>XOM US Equity</stp>
        <stp>PRETAX_INC</stp>
        <stp>FQ4 2006</stp>
        <stp>FQ4 2006</stp>
        <stp>[FA1_ivyerigx.xlsx]Income - Adjusted!R18C36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18" s="2"/>
      </tp>
      <tp>
        <v>16314</v>
        <stp/>
        <stp>##V3_BDHV12</stp>
        <stp>XOM US Equity</stp>
        <stp>PRETAX_INC</stp>
        <stp>FQ1 2007</stp>
        <stp>FQ1 2007</stp>
        <stp>[FA1_ivyerigx.xlsx]Income - Adjusted!R18C37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18" s="2"/>
      </tp>
      <tp>
        <v>6816</v>
        <stp/>
        <stp>##V3_BDHV12</stp>
        <stp>XOM US Equity</stp>
        <stp>PRETAX_INC</stp>
        <stp>FQ2 2000</stp>
        <stp>FQ2 2000</stp>
        <stp>[FA1_ivyerigx.xlsx]Income - Adjusted!R18C10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18" s="2"/>
      </tp>
      <tp>
        <v>6063</v>
        <stp/>
        <stp>##V3_BDHV12</stp>
        <stp>XOM US Equity</stp>
        <stp>PRETAX_INC</stp>
        <stp>FQ3 2003</stp>
        <stp>FQ3 2003</stp>
        <stp>[FA1_ivyerigx.xlsx]Income - Adjusted!R18C23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18" s="2"/>
      </tp>
      <tp t="s">
        <v>—</v>
        <stp/>
        <stp>##V3_BDHV12</stp>
        <stp>XOM US Equity</stp>
        <stp>BS_TOTAL_CAPITAL_LEASES</stp>
        <stp>FQ1 2006</stp>
        <stp>FQ1 2006</stp>
        <stp>[FA1_ivyerigx.xlsx]Bal Sheet - Standardized!R57C33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7" s="3"/>
      </tp>
      <tp t="s">
        <v>—</v>
        <stp/>
        <stp>##V3_BDHV12</stp>
        <stp>XOM US Equity</stp>
        <stp>BS_TOTAL_CAPITAL_LEASES</stp>
        <stp>FQ3 2001</stp>
        <stp>FQ3 2001</stp>
        <stp>[FA1_ivyerigx.xlsx]Bal Sheet - Standardized!R57C15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7" s="3"/>
      </tp>
      <tp t="s">
        <v>—</v>
        <stp/>
        <stp>##V3_BDHV12</stp>
        <stp>XOM US Equity</stp>
        <stp>BS_TOTAL_CAPITAL_LEASES</stp>
        <stp>FQ1 2007</stp>
        <stp>FQ1 2007</stp>
        <stp>[FA1_ivyerigx.xlsx]Bal Sheet - Standardized!R57C37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7" s="3"/>
      </tp>
      <tp t="s">
        <v>—</v>
        <stp/>
        <stp>##V3_BDHV12</stp>
        <stp>XOM US Equity</stp>
        <stp>BS_TOTAL_CAPITAL_LEASES</stp>
        <stp>FQ3 2000</stp>
        <stp>FQ3 2000</stp>
        <stp>[FA1_ivyerigx.xlsx]Bal Sheet - Standardized!R57C11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7" s="3"/>
      </tp>
      <tp>
        <v>12049</v>
        <stp/>
        <stp>##V3_BDHV12</stp>
        <stp>XOM US Equity</stp>
        <stp>BS_AMT_OF_TSY_STOCK</stp>
        <stp>FQ1 2000</stp>
        <stp>FQ1 2000</stp>
        <stp>[FA1_ivyerigx.xlsx]Bal Sheet - Standardized!R43C9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3" s="3"/>
      </tp>
      <tp t="s">
        <v>—</v>
        <stp/>
        <stp>##V3_BDHV12</stp>
        <stp>XOM US Equity</stp>
        <stp>BS_TOTAL_CAPITAL_LEASES</stp>
        <stp>FQ3 2002</stp>
        <stp>FQ3 2002</stp>
        <stp>[FA1_ivyerigx.xlsx]Bal Sheet - Standardized!R57C19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7" s="3"/>
      </tp>
      <tp t="s">
        <v>—</v>
        <stp/>
        <stp>##V3_BDHV12</stp>
        <stp>XOM US Equity</stp>
        <stp>IS_NET_ABNORMAL_ITEMS</stp>
        <stp>FQ3 2004</stp>
        <stp>FQ3 2004</stp>
        <stp>[FA1_ivyerigx.xlsx]Income - Adjusted!R30C27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0" s="2"/>
      </tp>
      <tp t="s">
        <v>—</v>
        <stp/>
        <stp>##V3_BDHV12</stp>
        <stp>XOM US Equity</stp>
        <stp>IS_NET_ABNORMAL_ITEMS</stp>
        <stp>FQ4 2000</stp>
        <stp>FQ4 2000</stp>
        <stp>[FA1_ivyerigx.xlsx]Income - Adjusted!R30C12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0" s="2"/>
      </tp>
      <tp t="s">
        <v>—</v>
        <stp/>
        <stp>##V3_BDHV12</stp>
        <stp>XOM US Equity</stp>
        <stp>IS_NET_ABNORMAL_ITEMS</stp>
        <stp>FQ1 2007</stp>
        <stp>FQ1 2007</stp>
        <stp>[FA1_ivyerigx.xlsx]Income - Adjusted!R30C37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0" s="2"/>
      </tp>
      <tp t="s">
        <v>—</v>
        <stp/>
        <stp>##V3_BDHV12</stp>
        <stp>XOM US Equity</stp>
        <stp>IS_NET_ABNORMAL_ITEMS</stp>
        <stp>FQ4 2003</stp>
        <stp>FQ4 2003</stp>
        <stp>[FA1_ivyerigx.xlsx]Income - Adjusted!R30C24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0" s="2"/>
      </tp>
      <tp t="s">
        <v>—</v>
        <stp/>
        <stp>##V3_BDHV12</stp>
        <stp>XOM US Equity</stp>
        <stp>IS_NET_ABNORMAL_ITEMS</stp>
        <stp>FQ3 2005</stp>
        <stp>FQ3 2005</stp>
        <stp>[FA1_ivyerigx.xlsx]Income - Adjusted!R30C31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0" s="2"/>
      </tp>
      <tp>
        <v>188420</v>
        <stp/>
        <stp>##V3_BDHV12</stp>
        <stp>XOM US Equity</stp>
        <stp>BS_GROSS_FIX_ASSET</stp>
        <stp>FQ1 2000</stp>
        <stp>FQ1 2000</stp>
        <stp>[FA1_ivyerigx.xlsx]Bal Sheet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3"/>
      </tp>
      <tp>
        <v>5922</v>
        <stp/>
        <stp>##V3_BDHV12</stp>
        <stp>XOM US Equity</stp>
        <stp>IS_SH_FOR_DILUTED_EPS</stp>
        <stp>FQ3 2006</stp>
        <stp>FQ3 2006</stp>
        <stp>[FA1_ivyerigx.xlsx]Per Share!R7C35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7" s="5"/>
      </tp>
      <tp>
        <v>6030</v>
        <stp/>
        <stp>##V3_BDHV12</stp>
        <stp>XOM US Equity</stp>
        <stp>IS_SH_FOR_DILUTED_EPS</stp>
        <stp>FQ2 2006</stp>
        <stp>FQ2 2006</stp>
        <stp>[FA1_ivyerigx.xlsx]Per Share!R7C34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7" s="5"/>
      </tp>
      <tp>
        <v>6547</v>
        <stp/>
        <stp>##V3_BDHV12</stp>
        <stp>XOM US Equity</stp>
        <stp>IS_SH_FOR_DILUTED_EPS</stp>
        <stp>FQ2 2004</stp>
        <stp>FQ2 2004</stp>
        <stp>[FA1_ivyerigx.xlsx]Per Share!R7C26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7" s="5"/>
      </tp>
      <tp>
        <v>6508</v>
        <stp/>
        <stp>##V3_BDHV12</stp>
        <stp>XOM US Equity</stp>
        <stp>IS_SH_FOR_DILUTED_EPS</stp>
        <stp>FQ3 2004</stp>
        <stp>FQ3 2004</stp>
        <stp>[FA1_ivyerigx.xlsx]Per Share!R7C27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7" s="5"/>
      </tp>
      <tp>
        <v>6582</v>
        <stp/>
        <stp>##V3_BDHV12</stp>
        <stp>XOM US Equity</stp>
        <stp>IS_SH_FOR_DILUTED_EPS</stp>
        <stp>FQ1 2004</stp>
        <stp>FQ1 2004</stp>
        <stp>[FA1_ivyerigx.xlsx]Per Share!R7C25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7" s="5"/>
      </tp>
      <tp>
        <v>6544</v>
        <stp/>
        <stp>##V3_BDHV12</stp>
        <stp>XOM US Equity</stp>
        <stp>IS_AVG_NUM_SH_FOR_EPS</stp>
        <stp>FQ1 2004</stp>
        <stp>FQ1 2004</stp>
        <stp>[FA1_ivyerigx.xlsx]Per Share!R8C25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8" s="5"/>
      </tp>
      <tp>
        <v>6464</v>
        <stp/>
        <stp>##V3_BDHV12</stp>
        <stp>XOM US Equity</stp>
        <stp>IS_AVG_NUM_SH_FOR_EPS</stp>
        <stp>FQ3 2004</stp>
        <stp>FQ3 2004</stp>
        <stp>[FA1_ivyerigx.xlsx]Per Share!R8C27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8" s="5"/>
      </tp>
      <tp>
        <v>6506</v>
        <stp/>
        <stp>##V3_BDHV12</stp>
        <stp>XOM US Equity</stp>
        <stp>IS_AVG_NUM_SH_FOR_EPS</stp>
        <stp>FQ2 2004</stp>
        <stp>FQ2 2004</stp>
        <stp>[FA1_ivyerigx.xlsx]Per Share!R8C26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8" s="5"/>
      </tp>
      <tp>
        <v>5971</v>
        <stp/>
        <stp>##V3_BDHV12</stp>
        <stp>XOM US Equity</stp>
        <stp>IS_AVG_NUM_SH_FOR_EPS</stp>
        <stp>FQ2 2006</stp>
        <stp>FQ2 2006</stp>
        <stp>[FA1_ivyerigx.xlsx]Per Share!R8C34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8" s="5"/>
      </tp>
      <tp>
        <v>5861</v>
        <stp/>
        <stp>##V3_BDHV12</stp>
        <stp>XOM US Equity</stp>
        <stp>IS_AVG_NUM_SH_FOR_EPS</stp>
        <stp>FQ3 2006</stp>
        <stp>FQ3 2006</stp>
        <stp>[FA1_ivyerigx.xlsx]Per Share!R8C35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8" s="5"/>
      </tp>
      <tp>
        <v>17915</v>
        <stp/>
        <stp>##V3_BDHV12</stp>
        <stp>XOM US Equity</stp>
        <stp>EBITDA</stp>
        <stp>FQ2 2007</stp>
        <stp>FQ2 2007</stp>
        <stp>[FA1_ivyerigx.xlsx]Income - Adjusted!R45C38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5" s="2"/>
      </tp>
      <tp>
        <v>92553</v>
        <stp/>
        <stp>##V3_BDHV12</stp>
        <stp>XOM US Equity</stp>
        <stp>BS_NET_FIX_ASSET</stp>
        <stp>FQ1 2000</stp>
        <stp>FQ1 2000</stp>
        <stp>[FA1_ivyerigx.xlsx]Bal Sheet - Standardized!R19C9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20.092099999999999</v>
        <stp/>
        <stp>##V3_BDHV12</stp>
        <stp>XOM US Equity</stp>
        <stp>EBITDA_MARGIN</stp>
        <stp>FQ3 2007</stp>
        <stp>FQ3 2007</stp>
        <stp>[FA1_ivyerigx.xlsx]Cash Flow - Standardized!R43C39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43" s="4"/>
      </tp>
      <tp>
        <v>19.4939</v>
        <stp/>
        <stp>##V3_BDHV12</stp>
        <stp>XOM US Equity</stp>
        <stp>EBITDA_MARGIN</stp>
        <stp>FQ4 2007</stp>
        <stp>FQ4 2007</stp>
        <stp>[FA1_ivyerigx.xlsx]Cash Flow - Standardized!R43C40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43" s="4"/>
      </tp>
      <tp>
        <v>20.5792</v>
        <stp/>
        <stp>##V3_BDHV12</stp>
        <stp>XOM US Equity</stp>
        <stp>EBITDA_MARGIN</stp>
        <stp>FQ2 2007</stp>
        <stp>FQ2 2007</stp>
        <stp>[FA1_ivyerigx.xlsx]Cash Flow - Standardized!R43C38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43" s="4"/>
      </tp>
      <tp>
        <v>20.664000000000001</v>
        <stp/>
        <stp>##V3_BDHV12</stp>
        <stp>XOM US Equity</stp>
        <stp>EBITDA_MARGIN</stp>
        <stp>FQ1 2007</stp>
        <stp>FQ1 2007</stp>
        <stp>[FA1_ivyerigx.xlsx]Cash Flow - Standardized!R43C37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43" s="4"/>
      </tp>
      <tp>
        <v>10260</v>
        <stp/>
        <stp>##V3_BDHV12</stp>
        <stp>XOM US Equity</stp>
        <stp>NET_INCOME</stp>
        <stp>FQ2 2007</stp>
        <stp>FQ2 2007</stp>
        <stp>[FA1_ivyerigx.xlsx]Income - Adjusted!R24C38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4" s="2"/>
      </tp>
      <tp>
        <v>9116</v>
        <stp/>
        <stp>##V3_BDHV12</stp>
        <stp>XOM US Equity</stp>
        <stp>PRETAX_INC</stp>
        <stp>FQ1 2004</stp>
        <stp>FQ1 2004</stp>
        <stp>[FA1_ivyerigx.xlsx]Income - Adjusted!R18C25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18" s="2"/>
      </tp>
      <tp>
        <v>6848</v>
        <stp/>
        <stp>##V3_BDHV12</stp>
        <stp>XOM US Equity</stp>
        <stp>PRETAX_INC</stp>
        <stp>FQ2 2003</stp>
        <stp>FQ2 2003</stp>
        <stp>[FA1_ivyerigx.xlsx]Income - Adjusted!R18C22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18" s="2"/>
      </tp>
      <tp>
        <v>6770</v>
        <stp/>
        <stp>##V3_BDHV12</stp>
        <stp>XOM US Equity</stp>
        <stp>PRETAX_INC</stp>
        <stp>FQ3 2000</stp>
        <stp>FQ3 2000</stp>
        <stp>[FA1_ivyerigx.xlsx]Income - Adjusted!R18C11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18" s="2"/>
      </tp>
      <tp t="s">
        <v>—</v>
        <stp/>
        <stp>##V3_BDHV12</stp>
        <stp>XOM US Equity</stp>
        <stp>BS_TOTAL_CAPITAL_LEASES</stp>
        <stp>FQ2 2001</stp>
        <stp>FQ2 2001</stp>
        <stp>[FA1_ivyerigx.xlsx]Bal Sheet - Standardized!R57C14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7" s="3"/>
      </tp>
      <tp t="s">
        <v>—</v>
        <stp/>
        <stp>##V3_BDHV12</stp>
        <stp>XOM US Equity</stp>
        <stp>BS_TOTAL_CAPITAL_LEASES</stp>
        <stp>FQ1 2004</stp>
        <stp>FQ1 2004</stp>
        <stp>[FA1_ivyerigx.xlsx]Bal Sheet - Standardized!R57C25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7" s="3"/>
      </tp>
      <tp t="s">
        <v>—</v>
        <stp/>
        <stp>##V3_BDHV12</stp>
        <stp>XOM US Equity</stp>
        <stp>BS_TOTAL_CAPITAL_LEASES</stp>
        <stp>FQ2 2000</stp>
        <stp>FQ2 2000</stp>
        <stp>[FA1_ivyerigx.xlsx]Bal Sheet - Standardized!R57C10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7" s="3"/>
      </tp>
      <tp>
        <v>56845</v>
        <stp/>
        <stp>##V3_BDHV12</stp>
        <stp>XOM US Equity</stp>
        <stp>OTHER_NONCURRENT_LIABS_DETAILED</stp>
        <stp>FQ1 2008</stp>
        <stp>FQ1 2008</stp>
        <stp>[FA1_ivyerigx.xlsx]Bal Sheet - Standardized!R38C41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8" s="3"/>
      </tp>
      <tp t="s">
        <v>—</v>
        <stp/>
        <stp>##V3_BDHV12</stp>
        <stp>XOM US Equity</stp>
        <stp>BS_TOTAL_CAPITAL_LEASES</stp>
        <stp>FQ1 2003</stp>
        <stp>FQ1 2003</stp>
        <stp>[FA1_ivyerigx.xlsx]Bal Sheet - Standardized!R57C21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7" s="3"/>
      </tp>
      <tp>
        <v>29542</v>
        <stp/>
        <stp>##V3_BDHV12</stp>
        <stp>XOM US Equity</stp>
        <stp>OTHER_NONCURRENT_LIABS_DETAILED</stp>
        <stp>FQ4 2000</stp>
        <stp>FQ4 2000</stp>
        <stp>[FA1_ivyerigx.xlsx]Bal Sheet - Standardized!R38C12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8" s="3"/>
      </tp>
      <tp t="s">
        <v>—</v>
        <stp/>
        <stp>##V3_BDHV12</stp>
        <stp>XOM US Equity</stp>
        <stp>BS_TOTAL_CAPITAL_LEASES</stp>
        <stp>FQ1 2005</stp>
        <stp>FQ1 2005</stp>
        <stp>[FA1_ivyerigx.xlsx]Bal Sheet - Standardized!R57C29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7" s="3"/>
      </tp>
      <tp>
        <v>29975</v>
        <stp/>
        <stp>##V3_BDHV12</stp>
        <stp>XOM US Equity</stp>
        <stp>OTHER_NONCURRENT_LIABS_DETAILED</stp>
        <stp>FQ4 2001</stp>
        <stp>FQ4 2001</stp>
        <stp>[FA1_ivyerigx.xlsx]Bal Sheet - Standardized!R38C16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8" s="3"/>
      </tp>
      <tp t="s">
        <v>—</v>
        <stp/>
        <stp>##V3_BDHV12</stp>
        <stp>XOM US Equity</stp>
        <stp>BS_TOTAL_CAPITAL_LEASES</stp>
        <stp>FQ2 2002</stp>
        <stp>FQ2 2002</stp>
        <stp>[FA1_ivyerigx.xlsx]Bal Sheet - Standardized!R57C18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7" s="3"/>
      </tp>
      <tp t="s">
        <v>—</v>
        <stp/>
        <stp>##V3_BDHV12</stp>
        <stp>XOM US Equity</stp>
        <stp>IS_NET_ABNORMAL_ITEMS</stp>
        <stp>FQ3 2006</stp>
        <stp>FQ3 2006</stp>
        <stp>[FA1_ivyerigx.xlsx]Income - Adjusted!R30C35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0" s="2"/>
      </tp>
      <tp>
        <v>0</v>
        <stp/>
        <stp>##V3_BDHV12</stp>
        <stp>XOM US Equity</stp>
        <stp>CF_DECR_CAP_STOCK</stp>
        <stp>FQ1 2000</stp>
        <stp>FQ1 2000</stp>
        <stp>[FA1_ivyerigx.xlsx]Cash Flow - Standardized!R32C9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2" s="4"/>
      </tp>
      <tp t="s">
        <v>—</v>
        <stp/>
        <stp>##V3_BDHV12</stp>
        <stp>XOM US Equity</stp>
        <stp>IS_NET_ABNORMAL_ITEMS</stp>
        <stp>FQ2 2007</stp>
        <stp>FQ2 2007</stp>
        <stp>[FA1_ivyerigx.xlsx]Income - Adjusted!R30C38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0" s="2"/>
      </tp>
      <tp t="s">
        <v>—</v>
        <stp/>
        <stp>##V3_BDHV12</stp>
        <stp>XOM US Equity</stp>
        <stp>IS_NET_ABNORMAL_ITEMS</stp>
        <stp>FQ1 2005</stp>
        <stp>FQ1 2005</stp>
        <stp>[FA1_ivyerigx.xlsx]Income - Adjusted!R30C29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0" s="2"/>
      </tp>
      <tp>
        <v>5338</v>
        <stp/>
        <stp>##V3_BDHV12</stp>
        <stp>XOM US Equity</stp>
        <stp>PRETAX_INC</stp>
        <stp>FQ1 2000</stp>
        <stp>FQ1 2000</stp>
        <stp>[FA1_ivyerigx.xlsx]Income - Adjusted!R18C9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18" s="2"/>
      </tp>
      <tp>
        <v>6687</v>
        <stp/>
        <stp>##V3_BDHV12</stp>
        <stp>XOM US Equity</stp>
        <stp>IS_SH_FOR_DILUTED_EPS</stp>
        <stp>FQ2 2003</stp>
        <stp>FQ2 2003</stp>
        <stp>[FA1_ivyerigx.xlsx]Per Share!R7C22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7" s="5"/>
      </tp>
      <tp>
        <v>6652</v>
        <stp/>
        <stp>##V3_BDHV12</stp>
        <stp>XOM US Equity</stp>
        <stp>IS_SH_FOR_DILUTED_EPS</stp>
        <stp>FQ3 2003</stp>
        <stp>FQ3 2003</stp>
        <stp>[FA1_ivyerigx.xlsx]Per Share!R7C23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7" s="5"/>
      </tp>
      <tp>
        <v>6714</v>
        <stp/>
        <stp>##V3_BDHV12</stp>
        <stp>XOM US Equity</stp>
        <stp>IS_SH_FOR_DILUTED_EPS</stp>
        <stp>FQ1 2003</stp>
        <stp>FQ1 2003</stp>
        <stp>[FA1_ivyerigx.xlsx]Per Share!R7C21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7" s="5"/>
      </tp>
      <tp>
        <v>6612</v>
        <stp/>
        <stp>##V3_BDHV12</stp>
        <stp>XOM US Equity</stp>
        <stp>IS_SH_FOR_DILUTED_EPS</stp>
        <stp>FQ4 2003</stp>
        <stp>FQ4 2003</stp>
        <stp>[FA1_ivyerigx.xlsx]Per Share!R7C24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7" s="5"/>
      </tp>
      <tp>
        <v>6989</v>
        <stp/>
        <stp>##V3_BDHV12</stp>
        <stp>XOM US Equity</stp>
        <stp>IS_SH_FOR_DILUTED_EPS</stp>
        <stp>FQ1 2001</stp>
        <stp>FQ1 2001</stp>
        <stp>[FA1_ivyerigx.xlsx]Per Share!R7C13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7" s="5"/>
      </tp>
      <tp>
        <v>6889</v>
        <stp/>
        <stp>##V3_BDHV12</stp>
        <stp>XOM US Equity</stp>
        <stp>IS_SH_FOR_DILUTED_EPS</stp>
        <stp>FQ4 2001</stp>
        <stp>FQ4 2001</stp>
        <stp>[FA1_ivyerigx.xlsx]Per Share!R7C16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7" s="5"/>
      </tp>
      <tp>
        <v>5454</v>
        <stp/>
        <stp>##V3_BDHV12</stp>
        <stp>XOM US Equity</stp>
        <stp>IS_SH_FOR_DILUTED_EPS</stp>
        <stp>FQ4 2007</stp>
        <stp>FQ4 2007</stp>
        <stp>[FA1_ivyerigx.xlsx]Per Share!R7C40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7" s="5"/>
      </tp>
      <tp>
        <v>6263</v>
        <stp/>
        <stp>##V3_BDHV12</stp>
        <stp>XOM US Equity</stp>
        <stp>IS_SH_FOR_DILUTED_EPS</stp>
        <stp>FQ4 2005</stp>
        <stp>FQ4 2005</stp>
        <stp>[FA1_ivyerigx.xlsx]Per Share!R7C32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7" s="5"/>
      </tp>
      <tp>
        <v>6226</v>
        <stp/>
        <stp>##V3_BDHV12</stp>
        <stp>XOM US Equity</stp>
        <stp>IS_AVG_NUM_SH_FOR_EPS</stp>
        <stp>FQ4 2005</stp>
        <stp>FQ4 2005</stp>
        <stp>[FA1_ivyerigx.xlsx]Per Share!R8C32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8" s="5"/>
      </tp>
      <tp>
        <v>5423</v>
        <stp/>
        <stp>##V3_BDHV12</stp>
        <stp>XOM US Equity</stp>
        <stp>IS_AVG_NUM_SH_FOR_EPS</stp>
        <stp>FQ4 2007</stp>
        <stp>FQ4 2007</stp>
        <stp>[FA1_ivyerigx.xlsx]Per Share!R8C40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8" s="5"/>
      </tp>
      <tp t="s">
        <v>—</v>
        <stp/>
        <stp>##V3_BDHV12</stp>
        <stp>XOM US Equity</stp>
        <stp>IS_OTHER_OPER_INC</stp>
        <stp>FQ4 2004</stp>
        <stp>FQ4 2004</stp>
        <stp>[FA1_ivyerigx.xlsx]Income - Adjusted!R9C28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9" s="2"/>
      </tp>
      <tp>
        <v>6912</v>
        <stp/>
        <stp>##V3_BDHV12</stp>
        <stp>XOM US Equity</stp>
        <stp>IS_AVG_NUM_SH_FOR_EPS</stp>
        <stp>FQ1 2001</stp>
        <stp>FQ1 2001</stp>
        <stp>[FA1_ivyerigx.xlsx]Per Share!R8C13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8" s="5"/>
      </tp>
      <tp>
        <v>6823</v>
        <stp/>
        <stp>##V3_BDHV12</stp>
        <stp>XOM US Equity</stp>
        <stp>IS_AVG_NUM_SH_FOR_EPS</stp>
        <stp>FQ4 2001</stp>
        <stp>FQ4 2001</stp>
        <stp>[FA1_ivyerigx.xlsx]Per Share!R8C16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8" s="5"/>
      </tp>
      <tp t="s">
        <v>—</v>
        <stp/>
        <stp>##V3_BDHV12</stp>
        <stp>XOM US Equity</stp>
        <stp>IS_OTHER_OPER_INC</stp>
        <stp>FQ3 2002</stp>
        <stp>FQ3 2002</stp>
        <stp>[FA1_ivyerigx.xlsx]Income - Adjusted!R9C19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9" s="2"/>
      </tp>
      <tp t="s">
        <v>—</v>
        <stp/>
        <stp>##V3_BDHV12</stp>
        <stp>XOM US Equity</stp>
        <stp>IS_OTHER_OPER_INC</stp>
        <stp>FQ2 2002</stp>
        <stp>FQ2 2002</stp>
        <stp>[FA1_ivyerigx.xlsx]Income - Adjusted!R9C18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9" s="2"/>
      </tp>
      <tp>
        <v>6683</v>
        <stp/>
        <stp>##V3_BDHV12</stp>
        <stp>XOM US Equity</stp>
        <stp>IS_AVG_NUM_SH_FOR_EPS</stp>
        <stp>FQ1 2003</stp>
        <stp>FQ1 2003</stp>
        <stp>[FA1_ivyerigx.xlsx]Per Share!R8C21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8" s="5"/>
      </tp>
      <tp>
        <v>6619</v>
        <stp/>
        <stp>##V3_BDHV12</stp>
        <stp>XOM US Equity</stp>
        <stp>IS_AVG_NUM_SH_FOR_EPS</stp>
        <stp>FQ3 2003</stp>
        <stp>FQ3 2003</stp>
        <stp>[FA1_ivyerigx.xlsx]Per Share!R8C23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8" s="5"/>
      </tp>
      <tp>
        <v>6654</v>
        <stp/>
        <stp>##V3_BDHV12</stp>
        <stp>XOM US Equity</stp>
        <stp>IS_AVG_NUM_SH_FOR_EPS</stp>
        <stp>FQ2 2003</stp>
        <stp>FQ2 2003</stp>
        <stp>[FA1_ivyerigx.xlsx]Per Share!R8C22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8" s="5"/>
      </tp>
      <tp>
        <v>6580</v>
        <stp/>
        <stp>##V3_BDHV12</stp>
        <stp>XOM US Equity</stp>
        <stp>IS_AVG_NUM_SH_FOR_EPS</stp>
        <stp>FQ4 2003</stp>
        <stp>FQ4 2003</stp>
        <stp>[FA1_ivyerigx.xlsx]Per Share!R8C24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8" s="5"/>
      </tp>
      <tp t="s">
        <v>—</v>
        <stp/>
        <stp>##V3_BDHV12</stp>
        <stp>XOM US Equity</stp>
        <stp>IS_OTHER_OPER_INC</stp>
        <stp>FQ1 2008</stp>
        <stp>FQ1 2008</stp>
        <stp>[FA1_ivyerigx.xlsx]Income - Adjusted!R9C41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9" s="2"/>
      </tp>
      <tp t="s">
        <v>—</v>
        <stp/>
        <stp>##V3_BDHV12</stp>
        <stp>XOM US Equity</stp>
        <stp>IS_OTHER_OPER_INC</stp>
        <stp>FQ2 2008</stp>
        <stp>FQ2 2008</stp>
        <stp>[FA1_ivyerigx.xlsx]Income - Adjusted!R9C42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9" s="2"/>
      </tp>
      <tp>
        <v>13031</v>
        <stp/>
        <stp>##V3_BDHV12</stp>
        <stp>XOM US Equity</stp>
        <stp>EBITDA</stp>
        <stp>FQ1 2005</stp>
        <stp>FQ1 2005</stp>
        <stp>[FA1_ivyerigx.xlsx]Income - Adjusted!R45C29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5" s="2"/>
      </tp>
      <tp>
        <v>13993</v>
        <stp/>
        <stp>##V3_BDHV12</stp>
        <stp>XOM US Equity</stp>
        <stp>EBITDA</stp>
        <stp>FQ4 2004</stp>
        <stp>FQ4 2004</stp>
        <stp>[FA1_ivyerigx.xlsx]Income - Adjusted!R45C28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5" s="2"/>
      </tp>
      <tp>
        <v>17.2882</v>
        <stp/>
        <stp>##V3_BDHV12</stp>
        <stp>XOM US Equity</stp>
        <stp>EBITDA_MARGIN</stp>
        <stp>FQ4 2004</stp>
        <stp>FQ4 2004</stp>
        <stp>[FA1_ivyerigx.xlsx]Cash Flow - Standardized!R43C28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43" s="4"/>
      </tp>
      <tp>
        <v>15.504</v>
        <stp/>
        <stp>##V3_BDHV12</stp>
        <stp>XOM US Equity</stp>
        <stp>EBITDA_MARGIN</stp>
        <stp>FQ2 2004</stp>
        <stp>FQ2 2004</stp>
        <stp>[FA1_ivyerigx.xlsx]Cash Flow - Standardized!R43C26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43" s="4"/>
      </tp>
      <tp>
        <v>16.137799999999999</v>
        <stp/>
        <stp>##V3_BDHV12</stp>
        <stp>XOM US Equity</stp>
        <stp>EBITDA_MARGIN</stp>
        <stp>FQ3 2004</stp>
        <stp>FQ3 2004</stp>
        <stp>[FA1_ivyerigx.xlsx]Cash Flow - Standardized!R43C27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43" s="4"/>
      </tp>
      <tp>
        <v>15.2605</v>
        <stp/>
        <stp>##V3_BDHV12</stp>
        <stp>XOM US Equity</stp>
        <stp>EBITDA_MARGIN</stp>
        <stp>FQ1 2004</stp>
        <stp>FQ1 2004</stp>
        <stp>[FA1_ivyerigx.xlsx]Cash Flow - Standardized!R43C25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43" s="4"/>
      </tp>
      <tp>
        <v>7860</v>
        <stp/>
        <stp>##V3_BDHV12</stp>
        <stp>XOM US Equity</stp>
        <stp>NET_INCOME</stp>
        <stp>FQ1 2005</stp>
        <stp>FQ1 2005</stp>
        <stp>[FA1_ivyerigx.xlsx]Income - Adjusted!R24C29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4" s="2"/>
      </tp>
      <tp>
        <v>8420</v>
        <stp/>
        <stp>##V3_BDHV12</stp>
        <stp>XOM US Equity</stp>
        <stp>NET_INCOME</stp>
        <stp>FQ4 2004</stp>
        <stp>FQ4 2004</stp>
        <stp>[FA1_ivyerigx.xlsx]Income - Adjusted!R24C28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4" s="2"/>
      </tp>
      <tp>
        <v>5506</v>
        <stp/>
        <stp>##V3_BDHV12</stp>
        <stp>XOM US Equity</stp>
        <stp>PRETAX_INC</stp>
        <stp>FQ4 2002</stp>
        <stp>FQ4 2002</stp>
        <stp>[FA1_ivyerigx.xlsx]Income - Adjusted!R18C20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18" s="2"/>
      </tp>
      <tp>
        <v>8805</v>
        <stp/>
        <stp>##V3_BDHV12</stp>
        <stp>XOM US Equity</stp>
        <stp>PRETAX_INC</stp>
        <stp>FQ4 2000</stp>
        <stp>FQ4 2000</stp>
        <stp>[FA1_ivyerigx.xlsx]Income - Adjusted!R18C12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18" s="2"/>
      </tp>
      <tp>
        <v>10251</v>
        <stp/>
        <stp>##V3_BDHV12</stp>
        <stp>XOM US Equity</stp>
        <stp>PRETAX_INC</stp>
        <stp>FQ1 2003</stp>
        <stp>FQ1 2003</stp>
        <stp>[FA1_ivyerigx.xlsx]Income - Adjusted!R18C21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18" s="2"/>
      </tp>
      <tp>
        <v>8432</v>
        <stp/>
        <stp>##V3_BDHV12</stp>
        <stp>XOM US Equity</stp>
        <stp>PRETAX_INC</stp>
        <stp>FQ1 2001</stp>
        <stp>FQ1 2001</stp>
        <stp>[FA1_ivyerigx.xlsx]Income - Adjusted!R18C13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18" s="2"/>
      </tp>
      <tp>
        <v>18457</v>
        <stp/>
        <stp>##V3_BDHV12</stp>
        <stp>XOM US Equity</stp>
        <stp>PRETAX_INC</stp>
        <stp>FQ2 2006</stp>
        <stp>FQ2 2006</stp>
        <stp>[FA1_ivyerigx.xlsx]Income - Adjusted!R18C34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18" s="2"/>
      </tp>
      <tp>
        <v>9622</v>
        <stp/>
        <stp>##V3_BDHV12</stp>
        <stp>XOM US Equity</stp>
        <stp>PRETAX_INC</stp>
        <stp>FQ2 2004</stp>
        <stp>FQ2 2004</stp>
        <stp>[FA1_ivyerigx.xlsx]Income - Adjusted!R18C26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18" s="2"/>
      </tp>
      <tp t="s">
        <v>—</v>
        <stp/>
        <stp>##V3_BDHV12</stp>
        <stp>XOM US Equity</stp>
        <stp>BS_TOTAL_CAPITAL_LEASES</stp>
        <stp>FQ1 2002</stp>
        <stp>FQ1 2002</stp>
        <stp>[FA1_ivyerigx.xlsx]Bal Sheet - Standardized!R57C17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7" s="3"/>
      </tp>
      <tp t="s">
        <v>—</v>
        <stp/>
        <stp>##V3_BDHV12</stp>
        <stp>XOM US Equity</stp>
        <stp>BS_TOTAL_CAPITAL_LEASES</stp>
        <stp>FQ3 2005</stp>
        <stp>FQ3 2005</stp>
        <stp>[FA1_ivyerigx.xlsx]Bal Sheet - Standardized!R57C31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7" s="3"/>
      </tp>
      <tp t="s">
        <v>—</v>
        <stp/>
        <stp>##V3_BDHV12</stp>
        <stp>XOM US Equity</stp>
        <stp>BS_TOTAL_CAPITAL_LEASES</stp>
        <stp>FQ3 2006</stp>
        <stp>FQ3 2006</stp>
        <stp>[FA1_ivyerigx.xlsx]Bal Sheet - Standardized!R57C35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7" s="3"/>
      </tp>
      <tp t="s">
        <v>—</v>
        <stp/>
        <stp>##V3_BDHV12</stp>
        <stp>XOM US Equity</stp>
        <stp>BS_TOTAL_CAPITAL_LEASES</stp>
        <stp>FQ2 2004</stp>
        <stp>FQ2 2004</stp>
        <stp>[FA1_ivyerigx.xlsx]Bal Sheet - Standardized!R57C26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7" s="3"/>
      </tp>
      <tp>
        <v>41554</v>
        <stp/>
        <stp>##V3_BDHV12</stp>
        <stp>XOM US Equity</stp>
        <stp>OTHER_NONCURRENT_LIABS_DETAILED</stp>
        <stp>FQ4 2004</stp>
        <stp>FQ4 2004</stp>
        <stp>[FA1_ivyerigx.xlsx]Bal Sheet - Standardized!R38C28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8" s="3"/>
      </tp>
      <tp>
        <v>409</v>
        <stp/>
        <stp>##V3_BDHV12</stp>
        <stp>XOM US Equity</stp>
        <stp>BS_TOTAL_CAPITAL_LEASES</stp>
        <stp>FQ4 2007</stp>
        <stp>FQ4 2007</stp>
        <stp>[FA1_ivyerigx.xlsx]Bal Sheet - Standardized!R57C40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7" s="3"/>
      </tp>
      <tp>
        <v>57372</v>
        <stp/>
        <stp>##V3_BDHV12</stp>
        <stp>XOM US Equity</stp>
        <stp>OTHER_NONCURRENT_LIABS_DETAILED</stp>
        <stp>FQ2 2008</stp>
        <stp>FQ2 2008</stp>
        <stp>[FA1_ivyerigx.xlsx]Bal Sheet - Standardized!R38C42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8" s="3"/>
      </tp>
      <tp t="s">
        <v>—</v>
        <stp/>
        <stp>##V3_BDHV12</stp>
        <stp>XOM US Equity</stp>
        <stp>BS_TOTAL_CAPITAL_LEASES</stp>
        <stp>FQ2 2003</stp>
        <stp>FQ2 2003</stp>
        <stp>[FA1_ivyerigx.xlsx]Bal Sheet - Standardized!R57C22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7" s="3"/>
      </tp>
      <tp t="s">
        <v>—</v>
        <stp/>
        <stp>##V3_BDHV12</stp>
        <stp>XOM US Equity</stp>
        <stp>BS_TOTAL_CAPITAL_LEASES</stp>
        <stp>FQ1 2001</stp>
        <stp>FQ1 2001</stp>
        <stp>[FA1_ivyerigx.xlsx]Bal Sheet - Standardized!R57C13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7" s="3"/>
      </tp>
      <tp>
        <v>35449</v>
        <stp/>
        <stp>##V3_BDHV12</stp>
        <stp>XOM US Equity</stp>
        <stp>OTHER_NONCURRENT_LIABS_DETAILED</stp>
        <stp>FQ4 2002</stp>
        <stp>FQ4 2002</stp>
        <stp>[FA1_ivyerigx.xlsx]Bal Sheet - Standardized!R38C20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8" s="3"/>
      </tp>
      <tp t="s">
        <v>—</v>
        <stp/>
        <stp>##V3_BDHV12</stp>
        <stp>XOM US Equity</stp>
        <stp>BS_TOTAL_CAPITAL_LEASES</stp>
        <stp>FQ3 2007</stp>
        <stp>FQ3 2007</stp>
        <stp>[FA1_ivyerigx.xlsx]Bal Sheet - Standardized!R57C39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7" s="3"/>
      </tp>
      <tp>
        <v>37839</v>
        <stp/>
        <stp>##V3_BDHV12</stp>
        <stp>XOM US Equity</stp>
        <stp>OTHER_NONCURRENT_LIABS_DETAILED</stp>
        <stp>FQ4 2003</stp>
        <stp>FQ4 2003</stp>
        <stp>[FA1_ivyerigx.xlsx]Bal Sheet - Standardized!R38C24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8" s="3"/>
      </tp>
      <tp t="s">
        <v>—</v>
        <stp/>
        <stp>##V3_BDHV12</stp>
        <stp>XOM US Equity</stp>
        <stp>IS_NET_ABNORMAL_ITEMS</stp>
        <stp>FQ2 2006</stp>
        <stp>FQ2 2006</stp>
        <stp>[FA1_ivyerigx.xlsx]Income - Adjusted!R30C34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0" s="2"/>
      </tp>
      <tp t="s">
        <v>—</v>
        <stp/>
        <stp>##V3_BDHV12</stp>
        <stp>XOM US Equity</stp>
        <stp>IS_NET_ABNORMAL_ITEMS</stp>
        <stp>FQ1 2004</stp>
        <stp>FQ1 2004</stp>
        <stp>[FA1_ivyerigx.xlsx]Income - Adjusted!R30C25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0" s="2"/>
      </tp>
      <tp t="s">
        <v>—</v>
        <stp/>
        <stp>##V3_BDHV12</stp>
        <stp>XOM US Equity</stp>
        <stp>IS_NET_ABNORMAL_ITEMS</stp>
        <stp>FQ4 2007</stp>
        <stp>FQ4 2007</stp>
        <stp>[FA1_ivyerigx.xlsx]Income - Adjusted!R30C40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0" s="2"/>
      </tp>
      <tp>
        <v>83591</v>
        <stp/>
        <stp>##V3_BDHV12</stp>
        <stp>XOM US Equity</stp>
        <stp>SALES_REV_TURN</stp>
        <stp>FQ4 1999</stp>
        <stp>FQ4 1999</stp>
        <stp>[FA1_ivyerigx.xlsx]Income - Adjusted!R6C8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2"/>
      </tp>
      <tp t="s">
        <v>—</v>
        <stp/>
        <stp>##V3_BDHV12</stp>
        <stp>XOM US Equity</stp>
        <stp>IS_NET_ABNORMAL_ITEMS</stp>
        <stp>FQ3 2007</stp>
        <stp>FQ3 2007</stp>
        <stp>[FA1_ivyerigx.xlsx]Income - Adjusted!R30C39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0" s="2"/>
      </tp>
      <tp>
        <v>1500</v>
        <stp/>
        <stp>##V3_BDHV12</stp>
        <stp>XOM US Equity</stp>
        <stp>NET_INCOME</stp>
        <stp>FQ3 1999</stp>
        <stp>FQ3 1999</stp>
        <stp>[FA1_ivyerigx.xlsx]Income - Adjusted!R24C7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4" s="2"/>
      </tp>
      <tp>
        <v>1205</v>
        <stp/>
        <stp>##V3_BDHV12</stp>
        <stp>XOM US Equity</stp>
        <stp>NET_INCOME</stp>
        <stp>FQ2 1999</stp>
        <stp>FQ2 1999</stp>
        <stp>[FA1_ivyerigx.xlsx]Income - Adjusted!R24C6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4" s="2"/>
      </tp>
      <tp>
        <v>1020</v>
        <stp/>
        <stp>##V3_BDHV12</stp>
        <stp>XOM US Equity</stp>
        <stp>NET_INCOME</stp>
        <stp>FQ1 1999</stp>
        <stp>FQ1 1999</stp>
        <stp>[FA1_ivyerigx.xlsx]Income - Adjusted!R24C5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4" s="2"/>
      </tp>
      <tp>
        <v>7043</v>
        <stp/>
        <stp>##V3_BDHV12</stp>
        <stp>XOM US Equity</stp>
        <stp>IS_SH_FOR_DILUTED_EPS</stp>
        <stp>FQ3 2000</stp>
        <stp>FQ3 2000</stp>
        <stp>[FA1_ivyerigx.xlsx]Per Share!R7C11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7" s="5"/>
      </tp>
      <tp>
        <v>7049</v>
        <stp/>
        <stp>##V3_BDHV12</stp>
        <stp>XOM US Equity</stp>
        <stp>IS_SH_FOR_DILUTED_EPS</stp>
        <stp>FQ2 2000</stp>
        <stp>FQ2 2000</stp>
        <stp>[FA1_ivyerigx.xlsx]Per Share!R7C10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7" s="5"/>
      </tp>
      <tp>
        <v>3461</v>
        <stp/>
        <stp>##V3_BDHV12</stp>
        <stp>XOM US Equity</stp>
        <stp>BS_SH_CAP_AND_APIC</stp>
        <stp>FQ1 2000</stp>
        <stp>FQ1 2000</stp>
        <stp>[FA1_ivyerigx.xlsx]Bal Sheet - Standardized!R42C9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42" s="3"/>
      </tp>
      <tp>
        <v>10.9544</v>
        <stp/>
        <stp>##V3_BDHV12</stp>
        <stp>XOM US Equity</stp>
        <stp>OPER_MARGIN</stp>
        <stp>FQ1 2000</stp>
        <stp>FQ1 2000</stp>
        <stp>[FA1_ivyerigx.xlsx]Income - Adjusted!R50C9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I50" s="2"/>
      </tp>
      <tp>
        <v>6962</v>
        <stp/>
        <stp>##V3_BDHV12</stp>
        <stp>XOM US Equity</stp>
        <stp>IS_AVG_NUM_SH_FOR_EPS</stp>
        <stp>FQ2 2000</stp>
        <stp>FQ2 2000</stp>
        <stp>[FA1_ivyerigx.xlsx]Per Share!R8C10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8" s="5"/>
      </tp>
      <tp>
        <v>6960</v>
        <stp/>
        <stp>##V3_BDHV12</stp>
        <stp>XOM US Equity</stp>
        <stp>IS_AVG_NUM_SH_FOR_EPS</stp>
        <stp>FQ3 2000</stp>
        <stp>FQ3 2000</stp>
        <stp>[FA1_ivyerigx.xlsx]Per Share!R8C11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8" s="5"/>
      </tp>
      <tp>
        <v>18.053799999999999</v>
        <stp/>
        <stp>##V3_BDHV12</stp>
        <stp>XOM US Equity</stp>
        <stp>EBITDA_MARGIN</stp>
        <stp>FQ4 2005</stp>
        <stp>FQ4 2005</stp>
        <stp>[FA1_ivyerigx.xlsx]Cash Flow - Standardized!R43C32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43" s="4"/>
      </tp>
      <tp>
        <v>17.728400000000001</v>
        <stp/>
        <stp>##V3_BDHV12</stp>
        <stp>XOM US Equity</stp>
        <stp>EBITDA_MARGIN</stp>
        <stp>FQ3 2005</stp>
        <stp>FQ3 2005</stp>
        <stp>[FA1_ivyerigx.xlsx]Cash Flow - Standardized!R43C31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43" s="4"/>
      </tp>
      <tp>
        <v>17.713699999999999</v>
        <stp/>
        <stp>##V3_BDHV12</stp>
        <stp>XOM US Equity</stp>
        <stp>EBITDA_MARGIN</stp>
        <stp>FQ2 2005</stp>
        <stp>FQ2 2005</stp>
        <stp>[FA1_ivyerigx.xlsx]Cash Flow - Standardized!R43C30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43" s="4"/>
      </tp>
      <tp>
        <v>17.598800000000001</v>
        <stp/>
        <stp>##V3_BDHV12</stp>
        <stp>XOM US Equity</stp>
        <stp>EBITDA_MARGIN</stp>
        <stp>FQ1 2005</stp>
        <stp>FQ1 2005</stp>
        <stp>[FA1_ivyerigx.xlsx]Cash Flow - Standardized!R43C29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43" s="4"/>
      </tp>
      <tp>
        <v>18470</v>
        <stp/>
        <stp>##V3_BDHV12</stp>
        <stp>XOM US Equity</stp>
        <stp>PRETAX_INC</stp>
        <stp>FQ3 2006</stp>
        <stp>FQ3 2006</stp>
        <stp>[FA1_ivyerigx.xlsx]Income - Adjusted!R18C35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18" s="2"/>
      </tp>
      <tp>
        <v>9733</v>
        <stp/>
        <stp>##V3_BDHV12</stp>
        <stp>XOM US Equity</stp>
        <stp>PRETAX_INC</stp>
        <stp>FQ3 2004</stp>
        <stp>FQ3 2004</stp>
        <stp>[FA1_ivyerigx.xlsx]Income - Adjusted!R18C27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18" s="2"/>
      </tp>
      <tp>
        <v>0</v>
        <stp/>
        <stp>##V3_BDHV12</stp>
        <stp>XOM US Equity</stp>
        <stp>XO_GL_NET_OF_TAX</stp>
        <stp>FQ4 1999</stp>
        <stp>FQ4 1999</stp>
        <stp>[FA1_ivyerigx.xlsx]Income - Adjusted!R31C8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1" s="2"/>
      </tp>
      <tp>
        <v>0</v>
        <stp/>
        <stp>##V3_BDHV12</stp>
        <stp>XOM US Equity</stp>
        <stp>XO_GL_NET_OF_TAX</stp>
        <stp>FQ4 1999</stp>
        <stp>FQ4 1999</stp>
        <stp>[FA1_ivyerigx.xlsx]Income - Adjusted!R21C8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2"/>
      </tp>
      <tp>
        <v>0</v>
        <stp/>
        <stp>##V3_BDHV12</stp>
        <stp>XOM US Equity</stp>
        <stp>XO_GL_NET_OF_TAX</stp>
        <stp>FQ4 1998</stp>
        <stp>FQ4 1998</stp>
        <stp>[FA1_ivyerigx.xlsx]Income - Adjusted!R21C4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2"/>
      </tp>
      <tp>
        <v>0</v>
        <stp/>
        <stp>##V3_BDHV12</stp>
        <stp>XOM US Equity</stp>
        <stp>XO_GL_NET_OF_TAX</stp>
        <stp>FQ4 1998</stp>
        <stp>FQ4 1998</stp>
        <stp>[FA1_ivyerigx.xlsx]Income - Adjusted!R31C4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1" s="2"/>
      </tp>
      <tp t="s">
        <v>—</v>
        <stp/>
        <stp>##V3_BDHV12</stp>
        <stp>XOM US Equity</stp>
        <stp>BS_TOTAL_CAPITAL_LEASES</stp>
        <stp>FQ2 2005</stp>
        <stp>FQ2 2005</stp>
        <stp>[FA1_ivyerigx.xlsx]Bal Sheet - Standardized!R57C30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7" s="3"/>
      </tp>
      <tp t="s">
        <v>—</v>
        <stp/>
        <stp>##V3_BDHV12</stp>
        <stp>XOM US Equity</stp>
        <stp>BS_TOTAL_CAPITAL_LEASES</stp>
        <stp>FQ2 2006</stp>
        <stp>FQ2 2006</stp>
        <stp>[FA1_ivyerigx.xlsx]Bal Sheet - Standardized!R57C34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7" s="3"/>
      </tp>
      <tp t="s">
        <v>—</v>
        <stp/>
        <stp>##V3_BDHV12</stp>
        <stp>XOM US Equity</stp>
        <stp>BS_TOTAL_CAPITAL_LEASES</stp>
        <stp>FQ3 2004</stp>
        <stp>FQ3 2004</stp>
        <stp>[FA1_ivyerigx.xlsx]Bal Sheet - Standardized!R57C27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7" s="3"/>
      </tp>
      <tp t="s">
        <v>—</v>
        <stp/>
        <stp>##V3_BDHV12</stp>
        <stp>XOM US Equity</stp>
        <stp>BS_TOTAL_CAPITAL_LEASES</stp>
        <stp>FQ3 2003</stp>
        <stp>FQ3 2003</stp>
        <stp>[FA1_ivyerigx.xlsx]Bal Sheet - Standardized!R57C23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7" s="3"/>
      </tp>
      <tp t="s">
        <v>—</v>
        <stp/>
        <stp>##V3_BDHV12</stp>
        <stp>XOM US Equity</stp>
        <stp>BS_TOTAL_CAPITAL_LEASES</stp>
        <stp>FQ2 2007</stp>
        <stp>FQ2 2007</stp>
        <stp>[FA1_ivyerigx.xlsx]Bal Sheet - Standardized!R57C38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7" s="3"/>
      </tp>
      <tp>
        <v>49709</v>
        <stp/>
        <stp>##V3_BDHV12</stp>
        <stp>XOM US Equity</stp>
        <stp>OTHER_NONCURRENT_LIABS_DETAILED</stp>
        <stp>FQ4 2006</stp>
        <stp>FQ4 2006</stp>
        <stp>[FA1_ivyerigx.xlsx]Bal Sheet - Standardized!R38C36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8" s="3"/>
      </tp>
      <tp>
        <v>41095</v>
        <stp/>
        <stp>##V3_BDHV12</stp>
        <stp>XOM US Equity</stp>
        <stp>OTHER_NONCURRENT_LIABS_DETAILED</stp>
        <stp>FQ4 2005</stp>
        <stp>FQ4 2005</stp>
        <stp>[FA1_ivyerigx.xlsx]Bal Sheet - Standardized!R38C32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8" s="3"/>
      </tp>
      <tp>
        <v>0</v>
        <stp/>
        <stp>##V3_BDHV12</stp>
        <stp>XOM US Equity</stp>
        <stp>CF_INCR_CAP_STOCK</stp>
        <stp>FQ2 2005</stp>
        <stp>FQ2 2005</stp>
        <stp>[FA1_ivyerigx.xlsx]Cash Flow - Standardized!R31C30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1" s="4"/>
      </tp>
      <tp>
        <v>0</v>
        <stp/>
        <stp>##V3_BDHV12</stp>
        <stp>XOM US Equity</stp>
        <stp>CF_INCR_CAP_STOCK</stp>
        <stp>FQ3 2003</stp>
        <stp>FQ3 2003</stp>
        <stp>[FA1_ivyerigx.xlsx]Cash Flow - Standardized!R31C23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1" s="4"/>
      </tp>
      <tp>
        <v>0</v>
        <stp/>
        <stp>##V3_BDHV12</stp>
        <stp>XOM US Equity</stp>
        <stp>CF_INCR_CAP_STOCK</stp>
        <stp>FQ3 2004</stp>
        <stp>FQ3 2004</stp>
        <stp>[FA1_ivyerigx.xlsx]Cash Flow - Standardized!R31C27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1" s="4"/>
      </tp>
      <tp>
        <v>128</v>
        <stp/>
        <stp>##V3_BDHV12</stp>
        <stp>XOM US Equity</stp>
        <stp>CF_INCR_CAP_STOCK</stp>
        <stp>FQ2 2006</stp>
        <stp>FQ2 2006</stp>
        <stp>[FA1_ivyerigx.xlsx]Cash Flow - Standardized!R31C34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1" s="4"/>
      </tp>
      <tp>
        <v>237</v>
        <stp/>
        <stp>##V3_BDHV12</stp>
        <stp>XOM US Equity</stp>
        <stp>CF_INCR_CAP_STOCK</stp>
        <stp>FQ2 2007</stp>
        <stp>FQ2 2007</stp>
        <stp>[FA1_ivyerigx.xlsx]Cash Flow - Standardized!R31C38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1" s="4"/>
      </tp>
      <tp>
        <v>4605</v>
        <stp/>
        <stp>##V3_BDHV12</stp>
        <stp>XOM US Equity</stp>
        <stp>IS_OPER_INC</stp>
        <stp>FQ3 2001</stp>
        <stp>FQ3 2001</stp>
        <stp>[FA1_ivyerigx.xlsx]Income - Adjusted!R12C15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2" s="2"/>
      </tp>
      <tp>
        <v>12313</v>
        <stp/>
        <stp>##V3_BDHV12</stp>
        <stp>XOM US Equity</stp>
        <stp>IS_OPER_INC</stp>
        <stp>FQ3 2005</stp>
        <stp>FQ3 2005</stp>
        <stp>[FA1_ivyerigx.xlsx]Income - Adjusted!R12C31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2" s="2"/>
      </tp>
      <tp>
        <v>-5811</v>
        <stp/>
        <stp>##V3_BDHV12</stp>
        <stp>XOM US Equity</stp>
        <stp>OTHER_INS_RES_TO_SHRHLDR_EQY</stp>
        <stp>FQ4 2002</stp>
        <stp>FQ4 2002</stp>
        <stp>[FA1_ivyerigx.xlsx]Bal Sheet - Standardized!R45C20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5" s="3"/>
      </tp>
      <tp>
        <v>-5424</v>
        <stp/>
        <stp>##V3_BDHV12</stp>
        <stp>XOM US Equity</stp>
        <stp>OTHER_INS_RES_TO_SHRHLDR_EQY</stp>
        <stp>FQ4 2000</stp>
        <stp>FQ4 2000</stp>
        <stp>[FA1_ivyerigx.xlsx]Bal Sheet - Standardized!R45C12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5" s="3"/>
      </tp>
      <tp>
        <v>0.56000000000000005</v>
        <stp/>
        <stp>##V3_BDHV12</stp>
        <stp>XOM US Equity</stp>
        <stp>IS_DIL_EPS_CONT_OPS</stp>
        <stp>FQ4 2002</stp>
        <stp>FQ4 2002</stp>
        <stp>[FA1_ivyerigx.xlsx]Per Share!R19C20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9" s="5"/>
      </tp>
      <tp>
        <v>0.745</v>
        <stp/>
        <stp>##V3_BDHV12</stp>
        <stp>XOM US Equity</stp>
        <stp>IS_DIL_EPS_CONT_OPS</stp>
        <stp>FQ4 2000</stp>
        <stp>FQ4 2000</stp>
        <stp>[FA1_ivyerigx.xlsx]Per Share!R19C12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9" s="5"/>
      </tp>
      <tp>
        <v>1.72</v>
        <stp/>
        <stp>##V3_BDHV12</stp>
        <stp>XOM US Equity</stp>
        <stp>IS_DIL_EPS_CONT_OPS</stp>
        <stp>FQ2 2006</stp>
        <stp>FQ2 2006</stp>
        <stp>[FA1_ivyerigx.xlsx]Per Share!R19C34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9" s="5"/>
      </tp>
      <tp>
        <v>0.88</v>
        <stp/>
        <stp>##V3_BDHV12</stp>
        <stp>XOM US Equity</stp>
        <stp>IS_DIL_EPS_CONT_OPS</stp>
        <stp>FQ2 2004</stp>
        <stp>FQ2 2004</stp>
        <stp>[FA1_ivyerigx.xlsx]Per Share!R19C26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9" s="5"/>
      </tp>
      <tp>
        <v>0.71299999999999997</v>
        <stp/>
        <stp>##V3_BDHV12</stp>
        <stp>XOM US Equity</stp>
        <stp>IS_DIL_EPS_CONT_OPS</stp>
        <stp>FQ1 2003</stp>
        <stp>FQ1 2003</stp>
        <stp>[FA1_ivyerigx.xlsx]Per Share!R19C21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9" s="5"/>
      </tp>
      <tp>
        <v>0.71</v>
        <stp/>
        <stp>##V3_BDHV12</stp>
        <stp>XOM US Equity</stp>
        <stp>IS_DIL_EPS_CONT_OPS</stp>
        <stp>FQ1 2001</stp>
        <stp>FQ1 2001</stp>
        <stp>[FA1_ivyerigx.xlsx]Per Share!R19C13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9" s="5"/>
      </tp>
      <tp>
        <v>4185</v>
        <stp/>
        <stp>##V3_BDHV12</stp>
        <stp>XOM US Equity</stp>
        <stp>EARN_FOR_COMMON</stp>
        <stp>FQ4 1999</stp>
        <stp>FQ4 1999</stp>
        <stp>[FA1_ivyerigx.xlsx]Income - Adjusted!R27C8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7" s="2"/>
      </tp>
      <tp>
        <v>2.13</v>
        <stp/>
        <stp>##V3_BDHV12</stp>
        <stp>XOM US Equity</stp>
        <stp>IS_DIL_EPS_BEF_XO</stp>
        <stp>FQ4 2007</stp>
        <stp>FQ4 2007</stp>
        <stp>[FA1_ivyerigx.xlsx]Income - Adjusted!R40C40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0" s="2"/>
      </tp>
      <tp>
        <v>1.01</v>
        <stp/>
        <stp>##V3_BDHV12</stp>
        <stp>XOM US Equity</stp>
        <stp>IS_DIL_EPS_BEF_XO</stp>
        <stp>FQ4 2003</stp>
        <stp>FQ4 2003</stp>
        <stp>[FA1_ivyerigx.xlsx]Income - Adjusted!R40C24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0" s="2"/>
      </tp>
      <tp>
        <v>0.39</v>
        <stp/>
        <stp>##V3_BDHV12</stp>
        <stp>XOM US Equity</stp>
        <stp>IS_DIL_EPS_BEF_XO</stp>
        <stp>FQ4 2001</stp>
        <stp>FQ4 2001</stp>
        <stp>[FA1_ivyerigx.xlsx]Income - Adjusted!R40C16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0" s="2"/>
      </tp>
      <tp>
        <v>1.71</v>
        <stp/>
        <stp>##V3_BDHV12</stp>
        <stp>XOM US Equity</stp>
        <stp>IS_DIL_EPS_BEF_XO</stp>
        <stp>FQ4 2005</stp>
        <stp>FQ4 2005</stp>
        <stp>[FA1_ivyerigx.xlsx]Income - Adjusted!R40C32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0" s="2"/>
      </tp>
      <tp>
        <v>2</v>
        <stp/>
        <stp>##V3_BDHV12</stp>
        <stp>XOM US Equity</stp>
        <stp>IS_TOT_CASH_PFD_DVD</stp>
        <stp>FQ1 1999</stp>
        <stp>FQ1 1999</stp>
        <stp>[FA1_ivyerigx.xlsx]Income - Adjusted!R25C5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2"/>
      </tp>
      <tp>
        <v>258202</v>
        <stp/>
        <stp>##V3_BDHV12</stp>
        <stp>XOM US Equity</stp>
        <stp>BS_TOT_ASSET</stp>
        <stp>FQ1 2008</stp>
        <stp>FQ1 2008</stp>
        <stp>[FA1_ivyerigx.xlsx]Bal Sheet - Standardized!R27C41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7" s="3"/>
      </tp>
      <tp>
        <v>149000</v>
        <stp/>
        <stp>##V3_BDHV12</stp>
        <stp>XOM US Equity</stp>
        <stp>BS_TOT_ASSET</stp>
        <stp>FQ4 2000</stp>
        <stp>FQ4 2000</stp>
        <stp>[FA1_ivyerigx.xlsx]Bal Sheet - Standardized!R27C12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7" s="3"/>
      </tp>
      <tp>
        <v>0</v>
        <stp/>
        <stp>##V3_BDHV12</stp>
        <stp>XOM US Equity</stp>
        <stp>IS_TOT_CASH_PFD_DVD</stp>
        <stp>FQ1 2000</stp>
        <stp>FQ1 2000</stp>
        <stp>[FA1_ivyerigx.xlsx]Income - Adjusted!R25C9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2"/>
      </tp>
      <tp>
        <v>143174</v>
        <stp/>
        <stp>##V3_BDHV12</stp>
        <stp>XOM US Equity</stp>
        <stp>BS_TOT_ASSET</stp>
        <stp>FQ4 2001</stp>
        <stp>FQ4 2001</stp>
        <stp>[FA1_ivyerigx.xlsx]Bal Sheet - Standardized!R27C16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7" s="3"/>
      </tp>
      <tp>
        <v>15426</v>
        <stp/>
        <stp>##V3_BDHV12</stp>
        <stp>XOM US Equity</stp>
        <stp>EBIT</stp>
        <stp>FQ3 2006</stp>
        <stp>FQ3 2006</stp>
        <stp>[FA1_ivyerigx.xlsx]Income - Adjusted!R48C35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48" s="2"/>
      </tp>
      <tp>
        <v>8671</v>
        <stp/>
        <stp>##V3_BDHV12</stp>
        <stp>XOM US Equity</stp>
        <stp>EBIT</stp>
        <stp>FQ3 2004</stp>
        <stp>FQ3 2004</stp>
        <stp>[FA1_ivyerigx.xlsx]Income - Adjusted!R48C27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48" s="2"/>
      </tp>
      <tp>
        <v>42595</v>
        <stp/>
        <stp>##V3_BDHV12</stp>
        <stp>XOM US Equity</stp>
        <stp>NON_CUR_LIAB</stp>
        <stp>FQ4 2003</stp>
        <stp>FQ4 2003</stp>
        <stp>[FA1_ivyerigx.xlsx]Bal Sheet - Standardized!R39C24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9" s="3"/>
      </tp>
      <tp>
        <v>0</v>
        <stp/>
        <stp>##V3_BDHV12</stp>
        <stp>XOM US Equity</stp>
        <stp>IS_FOREIGN_EXCH_LOSS</stp>
        <stp>FQ4 2007</stp>
        <stp>FQ4 2007</stp>
        <stp>[FA1_ivyerigx.xlsx]Income - Adjusted!R15C40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5" s="2"/>
      </tp>
      <tp t="s">
        <v>—</v>
        <stp/>
        <stp>##V3_BDHV12</stp>
        <stp>XOM US Equity</stp>
        <stp>IS_FOREIGN_EXCH_LOSS</stp>
        <stp>FQ4 2003</stp>
        <stp>FQ4 2003</stp>
        <stp>[FA1_ivyerigx.xlsx]Income - Adjusted!R15C24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5" s="2"/>
      </tp>
      <tp t="s">
        <v>—</v>
        <stp/>
        <stp>##V3_BDHV12</stp>
        <stp>XOM US Equity</stp>
        <stp>IS_FOREIGN_EXCH_LOSS</stp>
        <stp>FQ4 2001</stp>
        <stp>FQ4 2001</stp>
        <stp>[FA1_ivyerigx.xlsx]Income - Adjusted!R15C16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5" s="2"/>
      </tp>
      <tp>
        <v>0</v>
        <stp/>
        <stp>##V3_BDHV12</stp>
        <stp>XOM US Equity</stp>
        <stp>IS_FOREIGN_EXCH_LOSS</stp>
        <stp>FQ4 2005</stp>
        <stp>FQ4 2005</stp>
        <stp>[FA1_ivyerigx.xlsx]Income - Adjusted!R15C32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5" s="2"/>
      </tp>
      <tp>
        <v>42104</v>
        <stp/>
        <stp>##V3_BDHV12</stp>
        <stp>XOM US Equity</stp>
        <stp>NON_CUR_LIAB</stp>
        <stp>FQ4 2002</stp>
        <stp>FQ4 2002</stp>
        <stp>[FA1_ivyerigx.xlsx]Bal Sheet - Standardized!R39C20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9" s="3"/>
      </tp>
      <tp>
        <v>46567</v>
        <stp/>
        <stp>##V3_BDHV12</stp>
        <stp>XOM US Equity</stp>
        <stp>NON_CUR_LIAB</stp>
        <stp>FQ4 2004</stp>
        <stp>FQ4 2004</stp>
        <stp>[FA1_ivyerigx.xlsx]Bal Sheet - Standardized!R39C28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9" s="3"/>
      </tp>
      <tp>
        <v>64699</v>
        <stp/>
        <stp>##V3_BDHV12</stp>
        <stp>XOM US Equity</stp>
        <stp>NON_CUR_LIAB</stp>
        <stp>FQ2 2008</stp>
        <stp>FQ2 2008</stp>
        <stp>[FA1_ivyerigx.xlsx]Bal Sheet - Standardized!R39C42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9" s="3"/>
      </tp>
      <tp>
        <v>2.0499999999999998</v>
        <stp/>
        <stp>##V3_BDHV12</stp>
        <stp>XOM US Equity</stp>
        <stp>IS_EARN_BEF_XO_ITEMS_PER_SH</stp>
        <stp>FQ1 2008</stp>
        <stp>FQ1 2008</stp>
        <stp>[FA1_ivyerigx.xlsx]Income - Adjusted!R35C41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35" s="2"/>
      </tp>
      <tp>
        <v>0.23150000000000001</v>
        <stp/>
        <stp>##V3_BDHV12</stp>
        <stp>XOM US Equity</stp>
        <stp>FREE_CASH_FLOW_PER_SH</stp>
        <stp>FQ3 1999</stp>
        <stp>FQ3 1999</stp>
        <stp>[FA1_ivyerigx.xlsx]Cash Flow - Standardized!R49C7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9" s="4"/>
      </tp>
      <tp>
        <v>8.6E-3</v>
        <stp/>
        <stp>##V3_BDHV12</stp>
        <stp>XOM US Equity</stp>
        <stp>FREE_CASH_FLOW_PER_SH</stp>
        <stp>FQ2 1999</stp>
        <stp>FQ2 1999</stp>
        <stp>[FA1_ivyerigx.xlsx]Cash Flow - Standardized!R49C6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9" s="4"/>
      </tp>
      <tp>
        <v>0.18859999999999999</v>
        <stp/>
        <stp>##V3_BDHV12</stp>
        <stp>XOM US Equity</stp>
        <stp>FREE_CASH_FLOW_PER_SH</stp>
        <stp>FQ1 1999</stp>
        <stp>FQ1 1999</stp>
        <stp>[FA1_ivyerigx.xlsx]Cash Flow - Standardized!R49C5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9" s="4"/>
      </tp>
      <tp>
        <v>38968</v>
        <stp/>
        <stp>##V3_BDHV12</stp>
        <stp>XOM US Equity</stp>
        <stp>BS_CASH_NEAR_CASH_ITEM</stp>
        <stp>FQ2 2008</stp>
        <stp>FQ2 2008</stp>
        <stp>[FA1_ivyerigx.xlsx]Bal Sheet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3"/>
      </tp>
      <tp>
        <v>40913</v>
        <stp/>
        <stp>##V3_BDHV12</stp>
        <stp>XOM US Equity</stp>
        <stp>BS_CASH_NEAR_CASH_ITEM</stp>
        <stp>FQ1 2008</stp>
        <stp>FQ1 2008</stp>
        <stp>[FA1_ivyerigx.xlsx]Bal Sheet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3"/>
      </tp>
      <tp>
        <v>4209</v>
        <stp/>
        <stp>##V3_BDHV12</stp>
        <stp>XOM US Equity</stp>
        <stp>IS_OPERATING_EXPN</stp>
        <stp>FQ4 2006</stp>
        <stp>FQ4 2006</stp>
        <stp>[FA1_ivyerigx.xlsx]Income - Adjusted!R10C36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0" s="2"/>
      </tp>
      <tp>
        <v>3664</v>
        <stp/>
        <stp>##V3_BDHV12</stp>
        <stp>XOM US Equity</stp>
        <stp>IS_OPERATING_EXPN</stp>
        <stp>FQ1 2007</stp>
        <stp>FQ1 2007</stp>
        <stp>[FA1_ivyerigx.xlsx]Income - Adjusted!R10C37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0" s="2"/>
      </tp>
      <tp>
        <v>10620</v>
        <stp/>
        <stp>##V3_BDHV12</stp>
        <stp>XOM US Equity</stp>
        <stp>IS_OPERATING_EXPN</stp>
        <stp>FQ2 2000</stp>
        <stp>FQ2 2000</stp>
        <stp>[FA1_ivyerigx.xlsx]Income - Adjusted!R10C10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0" s="2"/>
      </tp>
      <tp>
        <v>13084</v>
        <stp/>
        <stp>##V3_BDHV12</stp>
        <stp>XOM US Equity</stp>
        <stp>IS_OPERATING_EXPN</stp>
        <stp>FQ3 2003</stp>
        <stp>FQ3 2003</stp>
        <stp>[FA1_ivyerigx.xlsx]Income - Adjusted!R10C23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0" s="2"/>
      </tp>
      <tp>
        <v>33981</v>
        <stp/>
        <stp>##V3_BDHV12</stp>
        <stp>XOM US Equity</stp>
        <stp>BS_CASH_NEAR_CASH_ITEM</stp>
        <stp>FQ4 2007</stp>
        <stp>FQ4 2007</stp>
        <stp>[FA1_ivyerigx.xlsx]Bal Sheet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3"/>
      </tp>
      <tp>
        <v>0</v>
        <stp/>
        <stp>##V3_BDHV12</stp>
        <stp>XOM US Equity</stp>
        <stp>CF_INCR_CAP_STOCK</stp>
        <stp>FQ3 2005</stp>
        <stp>FQ3 2005</stp>
        <stp>[FA1_ivyerigx.xlsx]Cash Flow - Standardized!R31C31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1" s="4"/>
      </tp>
      <tp>
        <v>0</v>
        <stp/>
        <stp>##V3_BDHV12</stp>
        <stp>XOM US Equity</stp>
        <stp>CF_INCR_CAP_STOCK</stp>
        <stp>FQ1 2002</stp>
        <stp>FQ1 2002</stp>
        <stp>[FA1_ivyerigx.xlsx]Cash Flow - Standardized!R31C17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1" s="4"/>
      </tp>
      <tp>
        <v>0</v>
        <stp/>
        <stp>##V3_BDHV12</stp>
        <stp>XOM US Equity</stp>
        <stp>CF_INCR_CAP_STOCK</stp>
        <stp>FQ1 2001</stp>
        <stp>FQ1 2001</stp>
        <stp>[FA1_ivyerigx.xlsx]Cash Flow - Standardized!R31C13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1" s="4"/>
      </tp>
      <tp>
        <v>0</v>
        <stp/>
        <stp>##V3_BDHV12</stp>
        <stp>XOM US Equity</stp>
        <stp>CF_INCR_CAP_STOCK</stp>
        <stp>FQ2 2003</stp>
        <stp>FQ2 2003</stp>
        <stp>[FA1_ivyerigx.xlsx]Cash Flow - Standardized!R31C22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1" s="4"/>
      </tp>
      <tp>
        <v>201</v>
        <stp/>
        <stp>##V3_BDHV12</stp>
        <stp>XOM US Equity</stp>
        <stp>CF_INCR_CAP_STOCK</stp>
        <stp>FQ4 2007</stp>
        <stp>FQ4 2007</stp>
        <stp>[FA1_ivyerigx.xlsx]Cash Flow - Standardized!R31C40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1" s="4"/>
      </tp>
      <tp>
        <v>0</v>
        <stp/>
        <stp>##V3_BDHV12</stp>
        <stp>XOM US Equity</stp>
        <stp>CF_INCR_CAP_STOCK</stp>
        <stp>FQ2 2004</stp>
        <stp>FQ2 2004</stp>
        <stp>[FA1_ivyerigx.xlsx]Cash Flow - Standardized!R31C26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1" s="4"/>
      </tp>
      <tp>
        <v>142</v>
        <stp/>
        <stp>##V3_BDHV12</stp>
        <stp>XOM US Equity</stp>
        <stp>CF_INCR_CAP_STOCK</stp>
        <stp>FQ3 2006</stp>
        <stp>FQ3 2006</stp>
        <stp>[FA1_ivyerigx.xlsx]Cash Flow - Standardized!R31C35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1" s="4"/>
      </tp>
      <tp>
        <v>1010</v>
        <stp/>
        <stp>##V3_BDHV12</stp>
        <stp>XOM US Equity</stp>
        <stp>CF_INCR_CAP_STOCK</stp>
        <stp>FQ3 2007</stp>
        <stp>FQ3 2007</stp>
        <stp>[FA1_ivyerigx.xlsx]Cash Flow - Standardized!R31C39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1" s="4"/>
      </tp>
      <tp>
        <v>2735</v>
        <stp/>
        <stp>##V3_BDHV12</stp>
        <stp>XOM US Equity</stp>
        <stp>IS_OPER_INC</stp>
        <stp>FQ1 2002</stp>
        <stp>FQ1 2002</stp>
        <stp>[FA1_ivyerigx.xlsx]Income - Adjusted!R12C17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2" s="2"/>
      </tp>
      <tp>
        <v>13143</v>
        <stp/>
        <stp>##V3_BDHV12</stp>
        <stp>XOM US Equity</stp>
        <stp>IS_OPER_INC</stp>
        <stp>FQ1 2006</stp>
        <stp>FQ1 2006</stp>
        <stp>[FA1_ivyerigx.xlsx]Income - Adjusted!R12C33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2" s="2"/>
      </tp>
      <tp>
        <v>6109</v>
        <stp/>
        <stp>##V3_BDHV12</stp>
        <stp>XOM US Equity</stp>
        <stp>IS_OPER_INC</stp>
        <stp>FQ2 2001</stp>
        <stp>FQ2 2001</stp>
        <stp>[FA1_ivyerigx.xlsx]Income - Adjusted!R12C14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2" s="2"/>
      </tp>
      <tp>
        <v>11256</v>
        <stp/>
        <stp>##V3_BDHV12</stp>
        <stp>XOM US Equity</stp>
        <stp>IS_OPER_INC</stp>
        <stp>FQ2 2005</stp>
        <stp>FQ2 2005</stp>
        <stp>[FA1_ivyerigx.xlsx]Income - Adjusted!R12C30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2" s="2"/>
      </tp>
      <tp>
        <v>-6838</v>
        <stp/>
        <stp>##V3_BDHV12</stp>
        <stp>XOM US Equity</stp>
        <stp>OTHER_INS_RES_TO_SHRHLDR_EQY</stp>
        <stp>FQ2 2001</stp>
        <stp>FQ2 2001</stp>
        <stp>[FA1_ivyerigx.xlsx]Bal Sheet - Standardized!R45C14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5" s="3"/>
      </tp>
      <tp>
        <v>-6306</v>
        <stp/>
        <stp>##V3_BDHV12</stp>
        <stp>XOM US Equity</stp>
        <stp>OTHER_INS_RES_TO_SHRHLDR_EQY</stp>
        <stp>FQ3 2001</stp>
        <stp>FQ3 2001</stp>
        <stp>[FA1_ivyerigx.xlsx]Bal Sheet - Standardized!R45C15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5" s="3"/>
      </tp>
      <tp>
        <v>1.77</v>
        <stp/>
        <stp>##V3_BDHV12</stp>
        <stp>XOM US Equity</stp>
        <stp>IS_DIL_EPS_CONT_OPS</stp>
        <stp>FQ3 2006</stp>
        <stp>FQ3 2006</stp>
        <stp>[FA1_ivyerigx.xlsx]Per Share!R19C35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9" s="5"/>
      </tp>
      <tp>
        <v>0.96</v>
        <stp/>
        <stp>##V3_BDHV12</stp>
        <stp>XOM US Equity</stp>
        <stp>IS_DIL_EPS_CONT_OPS</stp>
        <stp>FQ3 2004</stp>
        <stp>FQ3 2004</stp>
        <stp>[FA1_ivyerigx.xlsx]Per Share!R19C27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9" s="5"/>
      </tp>
      <tp>
        <v>-2054</v>
        <stp/>
        <stp>##V3_BDHV12</stp>
        <stp>XOM US Equity</stp>
        <stp>OTHER_INS_RES_TO_SHRHLDR_EQY</stp>
        <stp>FQ2 2005</stp>
        <stp>FQ2 2005</stp>
        <stp>[FA1_ivyerigx.xlsx]Bal Sheet - Standardized!R45C30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5" s="3"/>
      </tp>
      <tp>
        <v>-1628</v>
        <stp/>
        <stp>##V3_BDHV12</stp>
        <stp>XOM US Equity</stp>
        <stp>OTHER_INS_RES_TO_SHRHLDR_EQY</stp>
        <stp>FQ3 2005</stp>
        <stp>FQ3 2005</stp>
        <stp>[FA1_ivyerigx.xlsx]Bal Sheet - Standardized!R45C31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5" s="3"/>
      </tp>
      <tp>
        <v>40.281300000000002</v>
        <stp/>
        <stp>##V3_BDHV12</stp>
        <stp>XOM US Equity</stp>
        <stp>PX_LAST</stp>
        <stp>FQ4 1999</stp>
        <stp>FQ4 1999</stp>
        <stp>[FA1_ivyerigx.xlsx]Stock Value!R6C8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" s="6"/>
      </tp>
      <tp>
        <v>7044</v>
        <stp/>
        <stp>##V3_BDHV12</stp>
        <stp>XOM US Equity</stp>
        <stp>IS_SH_FOR_DILUTED_EPS</stp>
        <stp>FQ1 2000</stp>
        <stp>FQ1 2000</stp>
        <stp>[FA1_ivyerigx.xlsx]Per Share!R7C9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7" s="5"/>
      </tp>
      <tp>
        <v>7406</v>
        <stp/>
        <stp>##V3_BDHV12</stp>
        <stp>XOM US Equity</stp>
        <stp>EBIT</stp>
        <stp>FQ1 2001</stp>
        <stp>FQ1 2001</stp>
        <stp>[FA1_ivyerigx.xlsx]Income - Adjusted!R48C13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48" s="2"/>
      </tp>
      <tp>
        <v>6701</v>
        <stp/>
        <stp>##V3_BDHV12</stp>
        <stp>XOM US Equity</stp>
        <stp>EBIT</stp>
        <stp>FQ1 2003</stp>
        <stp>FQ1 2003</stp>
        <stp>[FA1_ivyerigx.xlsx]Income - Adjusted!R48C21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48" s="2"/>
      </tp>
      <tp>
        <v>15554</v>
        <stp/>
        <stp>##V3_BDHV12</stp>
        <stp>XOM US Equity</stp>
        <stp>EBIT</stp>
        <stp>FQ2 2006</stp>
        <stp>FQ2 2006</stp>
        <stp>[FA1_ivyerigx.xlsx]Income - Adjusted!R48C34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48" s="2"/>
      </tp>
      <tp>
        <v>8199</v>
        <stp/>
        <stp>##V3_BDHV12</stp>
        <stp>XOM US Equity</stp>
        <stp>EBIT</stp>
        <stp>FQ2 2004</stp>
        <stp>FQ2 2004</stp>
        <stp>[FA1_ivyerigx.xlsx]Income - Adjusted!R48C26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48" s="2"/>
      </tp>
      <tp>
        <v>7642</v>
        <stp/>
        <stp>##V3_BDHV12</stp>
        <stp>XOM US Equity</stp>
        <stp>EBIT</stp>
        <stp>FQ4 2000</stp>
        <stp>FQ4 2000</stp>
        <stp>[FA1_ivyerigx.xlsx]Income - Adjusted!R48C12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48" s="2"/>
      </tp>
      <tp>
        <v>4863</v>
        <stp/>
        <stp>##V3_BDHV12</stp>
        <stp>XOM US Equity</stp>
        <stp>EBIT</stp>
        <stp>FQ4 2002</stp>
        <stp>FQ4 2002</stp>
        <stp>[FA1_ivyerigx.xlsx]Income - Adjusted!R48C20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48" s="2"/>
      </tp>
      <tp>
        <v>47315</v>
        <stp/>
        <stp>##V3_BDHV12</stp>
        <stp>XOM US Equity</stp>
        <stp>NON_CUR_LIAB</stp>
        <stp>FQ4 2005</stp>
        <stp>FQ4 2005</stp>
        <stp>[FA1_ivyerigx.xlsx]Bal Sheet - Standardized!R39C32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9" s="3"/>
      </tp>
      <tp>
        <v>56354</v>
        <stp/>
        <stp>##V3_BDHV12</stp>
        <stp>XOM US Equity</stp>
        <stp>NON_CUR_LIAB</stp>
        <stp>FQ4 2006</stp>
        <stp>FQ4 2006</stp>
        <stp>[FA1_ivyerigx.xlsx]Bal Sheet - Standardized!R39C36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9" s="3"/>
      </tp>
      <tp>
        <v>1733</v>
        <stp/>
        <stp>##V3_BDHV12</stp>
        <stp>XOM US Equity</stp>
        <stp>OTHER_CURRENT_ASSETS_DETAILED</stp>
        <stp>FQ4 1999</stp>
        <stp>FQ4 1999</stp>
        <stp>[FA1_ivyerigx.xlsx]Bal Sheet - Standardized!R17C8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1196</v>
        <stp/>
        <stp>##V3_BDHV12</stp>
        <stp>XOM US Equity</stp>
        <stp>OTHER_CURRENT_ASSETS_DETAILED</stp>
        <stp>FQ1 1999</stp>
        <stp>FQ1 1999</stp>
        <stp>[FA1_ivyerigx.xlsx]Bal Sheet - Standardized!R17C5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1187</v>
        <stp/>
        <stp>##V3_BDHV12</stp>
        <stp>XOM US Equity</stp>
        <stp>OTHER_CURRENT_ASSETS_DETAILED</stp>
        <stp>FQ2 1999</stp>
        <stp>FQ2 1999</stp>
        <stp>[FA1_ivyerigx.xlsx]Bal Sheet - Standardized!R17C6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1185</v>
        <stp/>
        <stp>##V3_BDHV12</stp>
        <stp>XOM US Equity</stp>
        <stp>OTHER_CURRENT_ASSETS_DETAILED</stp>
        <stp>FQ3 1999</stp>
        <stp>FQ3 1999</stp>
        <stp>[FA1_ivyerigx.xlsx]Bal Sheet - Standardized!R17C7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1015</v>
        <stp/>
        <stp>##V3_BDHV12</stp>
        <stp>XOM US Equity</stp>
        <stp>OTHER_CURRENT_ASSETS_DETAILED</stp>
        <stp>FQ4 1998</stp>
        <stp>FQ4 1998</stp>
        <stp>[FA1_ivyerigx.xlsx]Bal Sheet - Standardized!R17C4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1113</v>
        <stp/>
        <stp>##V3_BDHV12</stp>
        <stp>XOM US Equity</stp>
        <stp>OTHER_CURRENT_ASSETS_DETAILED</stp>
        <stp>FQ3 1998</stp>
        <stp>FQ3 1998</stp>
        <stp>[FA1_ivyerigx.xlsx]Bal Sheet - Standardized!R17C3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-3603</v>
        <stp/>
        <stp>##V3_BDHV12</stp>
        <stp>XOM US Equity</stp>
        <stp>CFF_ACTIVITIES_DETAILED</stp>
        <stp>FQ4 2001</stp>
        <stp>FQ4 2001</stp>
        <stp>[FA1_ivyerigx.xlsx]Cash Flow - Standardized!R33C16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3" s="4"/>
      </tp>
      <tp>
        <v>-4044</v>
        <stp/>
        <stp>##V3_BDHV12</stp>
        <stp>XOM US Equity</stp>
        <stp>CFF_ACTIVITIES_DETAILED</stp>
        <stp>FQ4 2000</stp>
        <stp>FQ4 2000</stp>
        <stp>[FA1_ivyerigx.xlsx]Cash Flow - Standardized!R33C12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3" s="4"/>
      </tp>
      <tp>
        <v>13581</v>
        <stp/>
        <stp>##V3_BDHV12</stp>
        <stp>XOM US Equity</stp>
        <stp>IS_OPERATING_EXPN</stp>
        <stp>FQ1 2004</stp>
        <stp>FQ1 2004</stp>
        <stp>[FA1_ivyerigx.xlsx]Income - Adjusted!R10C25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0" s="2"/>
      </tp>
      <tp>
        <v>12635</v>
        <stp/>
        <stp>##V3_BDHV12</stp>
        <stp>XOM US Equity</stp>
        <stp>IS_OPERATING_EXPN</stp>
        <stp>FQ2 2003</stp>
        <stp>FQ2 2003</stp>
        <stp>[FA1_ivyerigx.xlsx]Income - Adjusted!R10C22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0" s="2"/>
      </tp>
      <tp>
        <v>12122</v>
        <stp/>
        <stp>##V3_BDHV12</stp>
        <stp>XOM US Equity</stp>
        <stp>IS_OPERATING_EXPN</stp>
        <stp>FQ3 2000</stp>
        <stp>FQ3 2000</stp>
        <stp>[FA1_ivyerigx.xlsx]Income - Adjusted!R10C11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0" s="2"/>
      </tp>
      <tp>
        <v>-10188</v>
        <stp/>
        <stp>##V3_BDHV12</stp>
        <stp>XOM US Equity</stp>
        <stp>CFF_ACTIVITIES_DETAILED</stp>
        <stp>FQ1 2008</stp>
        <stp>FQ1 2008</stp>
        <stp>[FA1_ivyerigx.xlsx]Cash Flow - Standardized!R33C41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3" s="4"/>
      </tp>
      <tp>
        <v>0</v>
        <stp/>
        <stp>##V3_BDHV12</stp>
        <stp>XOM US Equity</stp>
        <stp>CF_INCR_CAP_STOCK</stp>
        <stp>FQ2 2001</stp>
        <stp>FQ2 2001</stp>
        <stp>[FA1_ivyerigx.xlsx]Cash Flow - Standardized!R31C14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1" s="4"/>
      </tp>
      <tp>
        <v>0</v>
        <stp/>
        <stp>##V3_BDHV12</stp>
        <stp>XOM US Equity</stp>
        <stp>CF_INCR_CAP_STOCK</stp>
        <stp>FQ1 2003</stp>
        <stp>FQ1 2003</stp>
        <stp>[FA1_ivyerigx.xlsx]Cash Flow - Standardized!R31C21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1" s="4"/>
      </tp>
      <tp>
        <v>86</v>
        <stp/>
        <stp>##V3_BDHV12</stp>
        <stp>XOM US Equity</stp>
        <stp>CF_INCR_CAP_STOCK</stp>
        <stp>FQ2 2000</stp>
        <stp>FQ2 2000</stp>
        <stp>[FA1_ivyerigx.xlsx]Cash Flow - Standardized!R31C10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1" s="4"/>
      </tp>
      <tp>
        <v>0</v>
        <stp/>
        <stp>##V3_BDHV12</stp>
        <stp>XOM US Equity</stp>
        <stp>CF_INCR_CAP_STOCK</stp>
        <stp>FQ1 2004</stp>
        <stp>FQ1 2004</stp>
        <stp>[FA1_ivyerigx.xlsx]Cash Flow - Standardized!R31C25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1" s="4"/>
      </tp>
      <tp>
        <v>0</v>
        <stp/>
        <stp>##V3_BDHV12</stp>
        <stp>XOM US Equity</stp>
        <stp>CF_INCR_CAP_STOCK</stp>
        <stp>FQ1 2005</stp>
        <stp>FQ1 2005</stp>
        <stp>[FA1_ivyerigx.xlsx]Cash Flow - Standardized!R31C29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1" s="4"/>
      </tp>
      <tp>
        <v>0</v>
        <stp/>
        <stp>##V3_BDHV12</stp>
        <stp>XOM US Equity</stp>
        <stp>CF_INCR_CAP_STOCK</stp>
        <stp>FQ2 2002</stp>
        <stp>FQ2 2002</stp>
        <stp>[FA1_ivyerigx.xlsx]Cash Flow - Standardized!R31C18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1" s="4"/>
      </tp>
      <tp>
        <v>1112</v>
        <stp/>
        <stp>##V3_BDHV12</stp>
        <stp>XOM US Equity</stp>
        <stp>BS_NUM_OF_TSY_SH</stp>
        <stp>FQ4 1998</stp>
        <stp>FQ4 1998</stp>
        <stp>[FA1_ivyerigx.xlsx]Bal Sheet - Standardized!R54C4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54" s="3"/>
      </tp>
      <tp>
        <v>19.1843</v>
        <stp/>
        <stp>##V3_BDHV12</stp>
        <stp>XOM US Equity</stp>
        <stp>NET_DEBT_TO_SHRHLDR_EQTY</stp>
        <stp>FQ1 2000</stp>
        <stp>FQ1 2000</stp>
        <stp>[FA1_ivyerigx.xlsx]Bal Sheet - Standardized!R61C9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1" s="3"/>
      </tp>
      <tp>
        <v>1106</v>
        <stp/>
        <stp>##V3_BDHV12</stp>
        <stp>XOM US Equity</stp>
        <stp>BS_NUM_OF_TSY_SH</stp>
        <stp>FQ3 1998</stp>
        <stp>FQ3 1998</stp>
        <stp>[FA1_ivyerigx.xlsx]Bal Sheet - Standardized!R54C3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54" s="3"/>
      </tp>
      <tp>
        <v>43.156300000000002</v>
        <stp/>
        <stp>##V3_BDHV12</stp>
        <stp>XOM US Equity</stp>
        <stp>PX_HIGH</stp>
        <stp>FQ1 2000</stp>
        <stp>FQ1 2000</stp>
        <stp>[FA1_ivyerigx.xlsx]Stock Value!R9C9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9" s="6"/>
      </tp>
      <tp>
        <v>-6807</v>
        <stp/>
        <stp>##V3_BDHV12</stp>
        <stp>XOM US Equity</stp>
        <stp>OTHER_INS_RES_TO_SHRHLDR_EQY</stp>
        <stp>FQ1 2002</stp>
        <stp>FQ1 2002</stp>
        <stp>[FA1_ivyerigx.xlsx]Bal Sheet - Standardized!R45C17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5" s="3"/>
      </tp>
      <tp t="s">
        <v>—</v>
        <stp/>
        <stp>##V3_BDHV12</stp>
        <stp>XOM US Equity</stp>
        <stp>NI_INCLUDING_MINORITY_INT_RATIO</stp>
        <stp>FQ4 1998</stp>
        <stp>FQ4 1998</stp>
        <stp>[FA1_ivyerigx.xlsx]Income - Adjusted!R22C4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2" s="2"/>
      </tp>
      <tp>
        <v>1484</v>
        <stp/>
        <stp>##V3_BDHV12</stp>
        <stp>XOM US Equity</stp>
        <stp>NI_INCLUDING_MINORITY_INT_RATIO</stp>
        <stp>FQ3 1998</stp>
        <stp>FQ3 1998</stp>
        <stp>[FA1_ivyerigx.xlsx]Income - Adjusted!R22C3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2" s="2"/>
      </tp>
      <tp>
        <v>1.69</v>
        <stp/>
        <stp>##V3_BDHV12</stp>
        <stp>XOM US Equity</stp>
        <stp>IS_DIL_EPS_CONT_OPS</stp>
        <stp>FQ4 2006</stp>
        <stp>FQ4 2006</stp>
        <stp>[FA1_ivyerigx.xlsx]Per Share!R19C36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9" s="5"/>
      </tp>
      <tp>
        <v>0.6</v>
        <stp/>
        <stp>##V3_BDHV12</stp>
        <stp>XOM US Equity</stp>
        <stp>IS_DIL_EPS_CONT_OPS</stp>
        <stp>FQ2 2000</stp>
        <stp>FQ2 2000</stp>
        <stp>[FA1_ivyerigx.xlsx]Per Share!R19C10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9" s="5"/>
      </tp>
      <tp>
        <v>0.55000000000000004</v>
        <stp/>
        <stp>##V3_BDHV12</stp>
        <stp>XOM US Equity</stp>
        <stp>IS_DIL_EPS_CONT_OPS</stp>
        <stp>FQ3 2003</stp>
        <stp>FQ3 2003</stp>
        <stp>[FA1_ivyerigx.xlsx]Per Share!R19C23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9" s="5"/>
      </tp>
      <tp>
        <v>1.62</v>
        <stp/>
        <stp>##V3_BDHV12</stp>
        <stp>XOM US Equity</stp>
        <stp>IS_DIL_EPS_CONT_OPS</stp>
        <stp>FQ1 2007</stp>
        <stp>FQ1 2007</stp>
        <stp>[FA1_ivyerigx.xlsx]Per Share!R19C37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9" s="5"/>
      </tp>
      <tp>
        <v>-2762</v>
        <stp/>
        <stp>##V3_BDHV12</stp>
        <stp>XOM US Equity</stp>
        <stp>OTHER_INS_RES_TO_SHRHLDR_EQY</stp>
        <stp>FQ4 2006</stp>
        <stp>FQ4 2006</stp>
        <stp>[FA1_ivyerigx.xlsx]Bal Sheet - Standardized!R45C36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5" s="3"/>
      </tp>
      <tp>
        <v>-882</v>
        <stp/>
        <stp>##V3_BDHV12</stp>
        <stp>XOM US Equity</stp>
        <stp>OTHER_INS_RES_TO_SHRHLDR_EQY</stp>
        <stp>FQ1 2006</stp>
        <stp>FQ1 2006</stp>
        <stp>[FA1_ivyerigx.xlsx]Bal Sheet - Standardized!R45C33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5" s="3"/>
      </tp>
      <tp>
        <v>1.2</v>
        <stp/>
        <stp>##V3_BDHV12</stp>
        <stp>XOM US Equity</stp>
        <stp>IS_DIL_EPS_BEF_XO</stp>
        <stp>FQ2 2005</stp>
        <stp>FQ2 2005</stp>
        <stp>[FA1_ivyerigx.xlsx]Income - Adjusted!R40C30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0" s="2"/>
      </tp>
      <tp>
        <v>0.63</v>
        <stp/>
        <stp>##V3_BDHV12</stp>
        <stp>XOM US Equity</stp>
        <stp>IS_DIL_EPS_BEF_XO</stp>
        <stp>FQ2 2001</stp>
        <stp>FQ2 2001</stp>
        <stp>[FA1_ivyerigx.xlsx]Income - Adjusted!R40C14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0" s="2"/>
      </tp>
      <tp>
        <v>1.37</v>
        <stp/>
        <stp>##V3_BDHV12</stp>
        <stp>XOM US Equity</stp>
        <stp>IS_DIL_EPS_BEF_XO</stp>
        <stp>FQ1 2006</stp>
        <stp>FQ1 2006</stp>
        <stp>[FA1_ivyerigx.xlsx]Income - Adjusted!R40C33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0" s="2"/>
      </tp>
      <tp>
        <v>0.3</v>
        <stp/>
        <stp>##V3_BDHV12</stp>
        <stp>XOM US Equity</stp>
        <stp>IS_DIL_EPS_BEF_XO</stp>
        <stp>FQ1 2002</stp>
        <stp>FQ1 2002</stp>
        <stp>[FA1_ivyerigx.xlsx]Income - Adjusted!R40C17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0" s="2"/>
      </tp>
      <tp>
        <v>84</v>
        <stp/>
        <stp>##V3_BDHV12</stp>
        <stp>XOM US Equity</stp>
        <stp>MIN_NONCONTROL_INTEREST_CREDITS</stp>
        <stp>FQ3 1998</stp>
        <stp>FQ3 1998</stp>
        <stp>[FA1_ivyerigx.xlsx]Income - Adjusted!R23C3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3" s="2"/>
      </tp>
      <tp t="s">
        <v>—</v>
        <stp/>
        <stp>##V3_BDHV12</stp>
        <stp>XOM US Equity</stp>
        <stp>MIN_NONCONTROL_INTEREST_CREDITS</stp>
        <stp>FQ4 1998</stp>
        <stp>FQ4 1998</stp>
        <stp>[FA1_ivyerigx.xlsx]Income - Adjusted!R23C4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3" s="2"/>
      </tp>
      <tp>
        <v>0</v>
        <stp/>
        <stp>##V3_BDHV12</stp>
        <stp>XOM US Equity</stp>
        <stp>IS_TOT_CASH_PFD_DVD</stp>
        <stp>FQ3 1999</stp>
        <stp>FQ3 1999</stp>
        <stp>[FA1_ivyerigx.xlsx]Income - Adjusted!R25C7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2"/>
      </tp>
      <tp>
        <v>4870</v>
        <stp/>
        <stp>##V3_BDHV12</stp>
        <stp>XOM US Equity</stp>
        <stp>IS_AVG_NUM_SH_FOR_EPS</stp>
        <stp>FQ3 1998</stp>
        <stp>FQ3 1998</stp>
        <stp>[FA1_ivyerigx.xlsx]Per Share!R8C3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5"/>
      </tp>
      <tp>
        <v>2.5</v>
        <stp/>
        <stp>##V3_BDHV12</stp>
        <stp>XOM US Equity</stp>
        <stp>IS_TOT_CASH_PFD_DVD</stp>
        <stp>FQ3 1998</stp>
        <stp>FQ3 1998</stp>
        <stp>[FA1_ivyerigx.xlsx]Income - Adjusted!R25C3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2"/>
      </tp>
      <tp>
        <v>4858</v>
        <stp/>
        <stp>##V3_BDHV12</stp>
        <stp>XOM US Equity</stp>
        <stp>IS_AVG_NUM_SH_FOR_EPS</stp>
        <stp>FQ4 1998</stp>
        <stp>FQ4 1998</stp>
        <stp>[FA1_ivyerigx.xlsx]Per Share!R8C4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5"/>
      </tp>
      <tp>
        <v>219015</v>
        <stp/>
        <stp>##V3_BDHV12</stp>
        <stp>XOM US Equity</stp>
        <stp>BS_TOT_ASSET</stp>
        <stp>FQ4 2006</stp>
        <stp>FQ4 2006</stp>
        <stp>[FA1_ivyerigx.xlsx]Bal Sheet - Standardized!R27C36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7" s="3"/>
      </tp>
      <tp>
        <v>208335</v>
        <stp/>
        <stp>##V3_BDHV12</stp>
        <stp>XOM US Equity</stp>
        <stp>BS_TOT_ASSET</stp>
        <stp>FQ4 2005</stp>
        <stp>FQ4 2005</stp>
        <stp>[FA1_ivyerigx.xlsx]Bal Sheet - Standardized!R27C32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7" s="3"/>
      </tp>
      <tp>
        <v>7622</v>
        <stp/>
        <stp>##V3_BDHV12</stp>
        <stp>XOM US Equity</stp>
        <stp>EBIT</stp>
        <stp>FQ1 2004</stp>
        <stp>FQ1 2004</stp>
        <stp>[FA1_ivyerigx.xlsx]Income - Adjusted!R48C25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48" s="2"/>
      </tp>
      <tp>
        <v>6179</v>
        <stp/>
        <stp>##V3_BDHV12</stp>
        <stp>XOM US Equity</stp>
        <stp>EBIT</stp>
        <stp>FQ3 2000</stp>
        <stp>FQ3 2000</stp>
        <stp>[FA1_ivyerigx.xlsx]Income - Adjusted!R48C11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48" s="2"/>
      </tp>
      <tp>
        <v>5920</v>
        <stp/>
        <stp>##V3_BDHV12</stp>
        <stp>XOM US Equity</stp>
        <stp>EBIT</stp>
        <stp>FQ2 2003</stp>
        <stp>FQ2 2003</stp>
        <stp>[FA1_ivyerigx.xlsx]Income - Adjusted!R48C22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48" s="2"/>
      </tp>
      <tp t="s">
        <v>—</v>
        <stp/>
        <stp>##V3_BDHV12</stp>
        <stp>XOM US Equity</stp>
        <stp>IS_FOREIGN_EXCH_LOSS</stp>
        <stp>FQ2 2005</stp>
        <stp>FQ2 2005</stp>
        <stp>[FA1_ivyerigx.xlsx]Income - Adjusted!R15C30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5" s="2"/>
      </tp>
      <tp t="s">
        <v>—</v>
        <stp/>
        <stp>##V3_BDHV12</stp>
        <stp>XOM US Equity</stp>
        <stp>IS_FOREIGN_EXCH_LOSS</stp>
        <stp>FQ2 2001</stp>
        <stp>FQ2 2001</stp>
        <stp>[FA1_ivyerigx.xlsx]Income - Adjusted!R15C14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5" s="2"/>
      </tp>
      <tp t="s">
        <v>—</v>
        <stp/>
        <stp>##V3_BDHV12</stp>
        <stp>XOM US Equity</stp>
        <stp>IS_FOREIGN_EXCH_LOSS</stp>
        <stp>FQ1 2006</stp>
        <stp>FQ1 2006</stp>
        <stp>[FA1_ivyerigx.xlsx]Income - Adjusted!R15C33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5" s="2"/>
      </tp>
      <tp t="s">
        <v>—</v>
        <stp/>
        <stp>##V3_BDHV12</stp>
        <stp>XOM US Equity</stp>
        <stp>IS_FOREIGN_EXCH_LOSS</stp>
        <stp>FQ1 2002</stp>
        <stp>FQ1 2002</stp>
        <stp>[FA1_ivyerigx.xlsx]Income - Adjusted!R15C17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5" s="2"/>
      </tp>
      <tp>
        <v>0.39</v>
        <stp/>
        <stp>##V3_BDHV12</stp>
        <stp>XOM US Equity</stp>
        <stp>IS_EARN_BEF_XO_ITEMS_PER_SH</stp>
        <stp>FQ3 2002</stp>
        <stp>FQ3 2002</stp>
        <stp>[FA1_ivyerigx.xlsx]Income - Adjusted!R35C19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35" s="2"/>
      </tp>
      <tp>
        <v>63049</v>
        <stp/>
        <stp>##V3_BDHV12</stp>
        <stp>XOM US Equity</stp>
        <stp>BS_ACCUM_DEPR</stp>
        <stp>FQ4 1998</stp>
        <stp>FQ4 1998</stp>
        <stp>[FA1_ivyerigx.xlsx]Bal Sheet - Standardized!R21C4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1" s="3"/>
      </tp>
      <tp>
        <v>64883</v>
        <stp/>
        <stp>##V3_BDHV12</stp>
        <stp>XOM US Equity</stp>
        <stp>BS_ACCUM_DEPR</stp>
        <stp>FQ3 1998</stp>
        <stp>FQ3 1998</stp>
        <stp>[FA1_ivyerigx.xlsx]Bal Sheet - Standardized!R21C3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1" s="3"/>
      </tp>
      <tp>
        <v>-4052</v>
        <stp/>
        <stp>##V3_BDHV12</stp>
        <stp>XOM US Equity</stp>
        <stp>CFF_ACTIVITIES_DETAILED</stp>
        <stp>FQ4 2003</stp>
        <stp>FQ4 2003</stp>
        <stp>[FA1_ivyerigx.xlsx]Cash Flow - Standardized!R33C24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3" s="4"/>
      </tp>
      <tp t="s">
        <v>—</v>
        <stp/>
        <stp>##V3_BDHV12</stp>
        <stp>XOM US Equity</stp>
        <stp>BS_ACCUM_DEPR</stp>
        <stp>FQ1 1999</stp>
        <stp>FQ1 1999</stp>
        <stp>[FA1_ivyerigx.xlsx]Bal Sheet - Standardized!R21C5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1" s="3"/>
      </tp>
      <tp t="s">
        <v>—</v>
        <stp/>
        <stp>##V3_BDHV12</stp>
        <stp>XOM US Equity</stp>
        <stp>BS_ACCUM_DEPR</stp>
        <stp>FQ3 1999</stp>
        <stp>FQ3 1999</stp>
        <stp>[FA1_ivyerigx.xlsx]Bal Sheet - Standardized!R21C7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1" s="3"/>
      </tp>
      <tp t="s">
        <v>—</v>
        <stp/>
        <stp>##V3_BDHV12</stp>
        <stp>XOM US Equity</stp>
        <stp>BS_ACCUM_DEPR</stp>
        <stp>FQ2 1999</stp>
        <stp>FQ2 1999</stp>
        <stp>[FA1_ivyerigx.xlsx]Bal Sheet - Standardized!R21C6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1" s="3"/>
      </tp>
      <tp>
        <v>-2554</v>
        <stp/>
        <stp>##V3_BDHV12</stp>
        <stp>XOM US Equity</stp>
        <stp>CFF_ACTIVITIES_DETAILED</stp>
        <stp>FQ4 2002</stp>
        <stp>FQ4 2002</stp>
        <stp>[FA1_ivyerigx.xlsx]Cash Flow - Standardized!R33C20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3" s="4"/>
      </tp>
      <tp>
        <v>12240</v>
        <stp/>
        <stp>##V3_BDHV12</stp>
        <stp>XOM US Equity</stp>
        <stp>IS_OPERATING_EXPN</stp>
        <stp>FQ4 2002</stp>
        <stp>FQ4 2002</stp>
        <stp>[FA1_ivyerigx.xlsx]Income - Adjusted!R10C20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0" s="2"/>
      </tp>
      <tp>
        <v>11777</v>
        <stp/>
        <stp>##V3_BDHV12</stp>
        <stp>XOM US Equity</stp>
        <stp>IS_OPERATING_EXPN</stp>
        <stp>FQ4 2000</stp>
        <stp>FQ4 2000</stp>
        <stp>[FA1_ivyerigx.xlsx]Income - Adjusted!R10C12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0" s="2"/>
      </tp>
      <tp>
        <v>12056</v>
        <stp/>
        <stp>##V3_BDHV12</stp>
        <stp>XOM US Equity</stp>
        <stp>IS_OPERATING_EXPN</stp>
        <stp>FQ1 2003</stp>
        <stp>FQ1 2003</stp>
        <stp>[FA1_ivyerigx.xlsx]Income - Adjusted!R10C21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0" s="2"/>
      </tp>
      <tp>
        <v>11533</v>
        <stp/>
        <stp>##V3_BDHV12</stp>
        <stp>XOM US Equity</stp>
        <stp>IS_OPERATING_EXPN</stp>
        <stp>FQ1 2001</stp>
        <stp>FQ1 2001</stp>
        <stp>[FA1_ivyerigx.xlsx]Income - Adjusted!R10C13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0" s="2"/>
      </tp>
      <tp>
        <v>13489</v>
        <stp/>
        <stp>##V3_BDHV12</stp>
        <stp>XOM US Equity</stp>
        <stp>IS_OPERATING_EXPN</stp>
        <stp>FQ2 2004</stp>
        <stp>FQ2 2004</stp>
        <stp>[FA1_ivyerigx.xlsx]Income - Adjusted!R10C26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0" s="2"/>
      </tp>
      <tp>
        <v>3733</v>
        <stp/>
        <stp>##V3_BDHV12</stp>
        <stp>XOM US Equity</stp>
        <stp>IS_OPERATING_EXPN</stp>
        <stp>FQ2 2006</stp>
        <stp>FQ2 2006</stp>
        <stp>[FA1_ivyerigx.xlsx]Income - Adjusted!R10C34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0" s="2"/>
      </tp>
      <tp>
        <v>-5995</v>
        <stp/>
        <stp>##V3_BDHV12</stp>
        <stp>XOM US Equity</stp>
        <stp>CFF_ACTIVITIES_DETAILED</stp>
        <stp>FQ4 2004</stp>
        <stp>FQ4 2004</stp>
        <stp>[FA1_ivyerigx.xlsx]Cash Flow - Standardized!R33C28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3" s="4"/>
      </tp>
      <tp>
        <v>-10895</v>
        <stp/>
        <stp>##V3_BDHV12</stp>
        <stp>XOM US Equity</stp>
        <stp>CFF_ACTIVITIES_DETAILED</stp>
        <stp>FQ2 2008</stp>
        <stp>FQ2 2008</stp>
        <stp>[FA1_ivyerigx.xlsx]Cash Flow - Standardized!R33C42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3" s="4"/>
      </tp>
      <tp>
        <v>95169</v>
        <stp/>
        <stp>##V3_BDHV12</stp>
        <stp>XOM US Equity</stp>
        <stp>BS_ACCUM_DEPR</stp>
        <stp>FQ4 1999</stp>
        <stp>FQ4 1999</stp>
        <stp>[FA1_ivyerigx.xlsx]Bal Sheet - Standardized!R21C8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1" s="3"/>
      </tp>
      <tp>
        <v>0</v>
        <stp/>
        <stp>##V3_BDHV12</stp>
        <stp>XOM US Equity</stp>
        <stp>CF_INCR_CAP_STOCK</stp>
        <stp>FQ3 2001</stp>
        <stp>FQ3 2001</stp>
        <stp>[FA1_ivyerigx.xlsx]Cash Flow - Standardized!R31C15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1" s="4"/>
      </tp>
      <tp>
        <v>4.1014999999999997</v>
        <stp/>
        <stp>##V3_BDHV12</stp>
        <stp>XOM US Equity</stp>
        <stp>EBITDA_PER_SH</stp>
        <stp>FQ2 2008</stp>
        <stp>FQ2 2008</stp>
        <stp>[FA1_ivyerigx.xlsx]Per Share!R12C42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12" s="5"/>
      </tp>
      <tp>
        <v>0.82620000000000005</v>
        <stp/>
        <stp>##V3_BDHV12</stp>
        <stp>XOM US Equity</stp>
        <stp>EBITDA_PER_SH</stp>
        <stp>FQ2 2002</stp>
        <stp>FQ2 2002</stp>
        <stp>[FA1_ivyerigx.xlsx]Per Share!R12C18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12" s="5"/>
      </tp>
      <tp>
        <v>1.1594</v>
        <stp/>
        <stp>##V3_BDHV12</stp>
        <stp>XOM US Equity</stp>
        <stp>EBITDA_PER_SH</stp>
        <stp>FQ2 2001</stp>
        <stp>FQ2 2001</stp>
        <stp>[FA1_ivyerigx.xlsx]Per Share!R12C14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12" s="5"/>
      </tp>
      <tp>
        <v>1.2157</v>
        <stp/>
        <stp>##V3_BDHV12</stp>
        <stp>XOM US Equity</stp>
        <stp>EBITDA_PER_SH</stp>
        <stp>FQ2 2003</stp>
        <stp>FQ2 2003</stp>
        <stp>[FA1_ivyerigx.xlsx]Per Share!R12C22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12" s="5"/>
      </tp>
      <tp>
        <v>1.1580999999999999</v>
        <stp/>
        <stp>##V3_BDHV12</stp>
        <stp>XOM US Equity</stp>
        <stp>EBITDA_PER_SH</stp>
        <stp>FQ2 2000</stp>
        <stp>FQ2 2000</stp>
        <stp>[FA1_ivyerigx.xlsx]Per Share!R12C10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12" s="5"/>
      </tp>
      <tp>
        <v>1.6214</v>
        <stp/>
        <stp>##V3_BDHV12</stp>
        <stp>XOM US Equity</stp>
        <stp>EBITDA_PER_SH</stp>
        <stp>FQ2 2004</stp>
        <stp>FQ2 2004</stp>
        <stp>[FA1_ivyerigx.xlsx]Per Share!R12C26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12" s="5"/>
      </tp>
      <tp>
        <v>2.1825999999999999</v>
        <stp/>
        <stp>##V3_BDHV12</stp>
        <stp>XOM US Equity</stp>
        <stp>EBITDA_PER_SH</stp>
        <stp>FQ2 2005</stp>
        <stp>FQ2 2005</stp>
        <stp>[FA1_ivyerigx.xlsx]Per Share!R12C30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12" s="5"/>
      </tp>
      <tp>
        <v>3.2250000000000001</v>
        <stp/>
        <stp>##V3_BDHV12</stp>
        <stp>XOM US Equity</stp>
        <stp>EBITDA_PER_SH</stp>
        <stp>FQ2 2007</stp>
        <stp>FQ2 2007</stp>
        <stp>[FA1_ivyerigx.xlsx]Per Share!R12C38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12" s="5"/>
      </tp>
      <tp>
        <v>3.0672000000000001</v>
        <stp/>
        <stp>##V3_BDHV12</stp>
        <stp>XOM US Equity</stp>
        <stp>EBITDA_PER_SH</stp>
        <stp>FQ2 2006</stp>
        <stp>FQ2 2006</stp>
        <stp>[FA1_ivyerigx.xlsx]Per Share!R12C34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12" s="5"/>
      </tp>
      <tp>
        <v>0.89690000000000003</v>
        <stp/>
        <stp>##V3_BDHV12</stp>
        <stp>XOM US Equity</stp>
        <stp>EBITDA_PER_SH</stp>
        <stp>FQ3 2002</stp>
        <stp>FQ3 2002</stp>
        <stp>[FA1_ivyerigx.xlsx]Per Share!R12C19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12" s="5"/>
      </tp>
      <tp>
        <v>1.1609</v>
        <stp/>
        <stp>##V3_BDHV12</stp>
        <stp>XOM US Equity</stp>
        <stp>EBITDA_PER_SH</stp>
        <stp>FQ3 2000</stp>
        <stp>FQ3 2000</stp>
        <stp>[FA1_ivyerigx.xlsx]Per Share!R12C11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12" s="5"/>
      </tp>
      <tp>
        <v>1.0916999999999999</v>
        <stp/>
        <stp>##V3_BDHV12</stp>
        <stp>XOM US Equity</stp>
        <stp>EBITDA_PER_SH</stp>
        <stp>FQ3 2003</stp>
        <stp>FQ3 2003</stp>
        <stp>[FA1_ivyerigx.xlsx]Per Share!R12C23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12" s="5"/>
      </tp>
      <tp>
        <v>0.9577</v>
        <stp/>
        <stp>##V3_BDHV12</stp>
        <stp>XOM US Equity</stp>
        <stp>EBITDA_PER_SH</stp>
        <stp>FQ3 2001</stp>
        <stp>FQ3 2001</stp>
        <stp>[FA1_ivyerigx.xlsx]Per Share!R12C15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12" s="5"/>
      </tp>
      <tp>
        <v>1.7175</v>
        <stp/>
        <stp>##V3_BDHV12</stp>
        <stp>XOM US Equity</stp>
        <stp>EBITDA_PER_SH</stp>
        <stp>FQ3 2004</stp>
        <stp>FQ3 2004</stp>
        <stp>[FA1_ivyerigx.xlsx]Per Share!R12C27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12" s="5"/>
      </tp>
      <tp>
        <v>2.3755999999999999</v>
        <stp/>
        <stp>##V3_BDHV12</stp>
        <stp>XOM US Equity</stp>
        <stp>EBITDA_PER_SH</stp>
        <stp>FQ3 2005</stp>
        <stp>FQ3 2005</stp>
        <stp>[FA1_ivyerigx.xlsx]Per Share!R12C31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12" s="5"/>
      </tp>
      <tp>
        <v>3.0977999999999999</v>
        <stp/>
        <stp>##V3_BDHV12</stp>
        <stp>XOM US Equity</stp>
        <stp>EBITDA_PER_SH</stp>
        <stp>FQ3 2006</stp>
        <stp>FQ3 2006</stp>
        <stp>[FA1_ivyerigx.xlsx]Per Share!R12C35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12" s="5"/>
      </tp>
      <tp>
        <v>3.1204999999999998</v>
        <stp/>
        <stp>##V3_BDHV12</stp>
        <stp>XOM US Equity</stp>
        <stp>EBITDA_PER_SH</stp>
        <stp>FQ3 2007</stp>
        <stp>FQ3 2007</stp>
        <stp>[FA1_ivyerigx.xlsx]Per Share!R12C39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12" s="5"/>
      </tp>
      <tp>
        <v>0</v>
        <stp/>
        <stp>##V3_BDHV12</stp>
        <stp>XOM US Equity</stp>
        <stp>CF_INCR_CAP_STOCK</stp>
        <stp>FQ1 2006</stp>
        <stp>FQ1 2006</stp>
        <stp>[FA1_ivyerigx.xlsx]Cash Flow - Standardized!R31C33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1" s="4"/>
      </tp>
      <tp>
        <v>3.9424999999999999</v>
        <stp/>
        <stp>##V3_BDHV12</stp>
        <stp>XOM US Equity</stp>
        <stp>EBITDA_PER_SH</stp>
        <stp>FQ1 2008</stp>
        <stp>FQ1 2008</stp>
        <stp>[FA1_ivyerigx.xlsx]Per Share!R12C41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12" s="5"/>
      </tp>
      <tp>
        <v>1.3291999999999999</v>
        <stp/>
        <stp>##V3_BDHV12</stp>
        <stp>XOM US Equity</stp>
        <stp>EBITDA_PER_SH</stp>
        <stp>FQ1 2003</stp>
        <stp>FQ1 2003</stp>
        <stp>[FA1_ivyerigx.xlsx]Per Share!R12C21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12" s="5"/>
      </tp>
      <tp>
        <v>1.3573</v>
        <stp/>
        <stp>##V3_BDHV12</stp>
        <stp>XOM US Equity</stp>
        <stp>EBITDA_PER_SH</stp>
        <stp>FQ1 2001</stp>
        <stp>FQ1 2001</stp>
        <stp>[FA1_ivyerigx.xlsx]Per Share!R12C13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12" s="5"/>
      </tp>
      <tp>
        <v>0.7</v>
        <stp/>
        <stp>##V3_BDHV12</stp>
        <stp>XOM US Equity</stp>
        <stp>EBITDA_PER_SH</stp>
        <stp>FQ1 2002</stp>
        <stp>FQ1 2002</stp>
        <stp>[FA1_ivyerigx.xlsx]Per Share!R12C17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12" s="5"/>
      </tp>
      <tp>
        <v>2.6017000000000001</v>
        <stp/>
        <stp>##V3_BDHV12</stp>
        <stp>XOM US Equity</stp>
        <stp>EBITDA_PER_SH</stp>
        <stp>FQ1 2006</stp>
        <stp>FQ1 2006</stp>
        <stp>[FA1_ivyerigx.xlsx]Per Share!R12C33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12" s="5"/>
      </tp>
      <tp>
        <v>2.8867000000000003</v>
        <stp/>
        <stp>##V3_BDHV12</stp>
        <stp>XOM US Equity</stp>
        <stp>EBITDA_PER_SH</stp>
        <stp>FQ1 2007</stp>
        <stp>FQ1 2007</stp>
        <stp>[FA1_ivyerigx.xlsx]Per Share!R12C37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12" s="5"/>
      </tp>
      <tp>
        <v>2.0472999999999999</v>
        <stp/>
        <stp>##V3_BDHV12</stp>
        <stp>XOM US Equity</stp>
        <stp>EBITDA_PER_SH</stp>
        <stp>FQ1 2005</stp>
        <stp>FQ1 2005</stp>
        <stp>[FA1_ivyerigx.xlsx]Per Share!R12C29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12" s="5"/>
      </tp>
      <tp>
        <v>1.5274000000000001</v>
        <stp/>
        <stp>##V3_BDHV12</stp>
        <stp>XOM US Equity</stp>
        <stp>EBITDA_PER_SH</stp>
        <stp>FQ1 2004</stp>
        <stp>FQ1 2004</stp>
        <stp>[FA1_ivyerigx.xlsx]Per Share!R12C25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12" s="5"/>
      </tp>
      <tp>
        <v>0</v>
        <stp/>
        <stp>##V3_BDHV12</stp>
        <stp>XOM US Equity</stp>
        <stp>CF_INCR_CAP_STOCK</stp>
        <stp>FQ3 2000</stp>
        <stp>FQ3 2000</stp>
        <stp>[FA1_ivyerigx.xlsx]Cash Flow - Standardized!R31C11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1" s="4"/>
      </tp>
      <tp>
        <v>0</v>
        <stp/>
        <stp>##V3_BDHV12</stp>
        <stp>XOM US Equity</stp>
        <stp>CF_INCR_CAP_STOCK</stp>
        <stp>FQ1 2007</stp>
        <stp>FQ1 2007</stp>
        <stp>[FA1_ivyerigx.xlsx]Cash Flow - Standardized!R31C37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1" s="4"/>
      </tp>
      <tp>
        <v>2.7797999999999998</v>
        <stp/>
        <stp>##V3_BDHV12</stp>
        <stp>XOM US Equity</stp>
        <stp>EBITDA_PER_SH</stp>
        <stp>FQ4 2006</stp>
        <stp>FQ4 2006</stp>
        <stp>[FA1_ivyerigx.xlsx]Per Share!R12C36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12" s="5"/>
      </tp>
      <tp>
        <v>2.1827000000000001</v>
        <stp/>
        <stp>##V3_BDHV12</stp>
        <stp>XOM US Equity</stp>
        <stp>EBITDA_PER_SH</stp>
        <stp>FQ4 2004</stp>
        <stp>FQ4 2004</stp>
        <stp>[FA1_ivyerigx.xlsx]Per Share!R12C28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12" s="5"/>
      </tp>
      <tp>
        <v>2.831</v>
        <stp/>
        <stp>##V3_BDHV12</stp>
        <stp>XOM US Equity</stp>
        <stp>EBITDA_PER_SH</stp>
        <stp>FQ4 2005</stp>
        <stp>FQ4 2005</stp>
        <stp>[FA1_ivyerigx.xlsx]Per Share!R12C32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12" s="5"/>
      </tp>
      <tp>
        <v>1.0337000000000001</v>
        <stp/>
        <stp>##V3_BDHV12</stp>
        <stp>XOM US Equity</stp>
        <stp>EBITDA_PER_SH</stp>
        <stp>FQ4 2002</stp>
        <stp>FQ4 2002</stp>
        <stp>[FA1_ivyerigx.xlsx]Per Share!R12C20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12" s="5"/>
      </tp>
      <tp>
        <v>0.7056</v>
        <stp/>
        <stp>##V3_BDHV12</stp>
        <stp>XOM US Equity</stp>
        <stp>EBITDA_PER_SH</stp>
        <stp>FQ4 2001</stp>
        <stp>FQ4 2001</stp>
        <stp>[FA1_ivyerigx.xlsx]Per Share!R12C16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12" s="5"/>
      </tp>
      <tp>
        <v>1.4131</v>
        <stp/>
        <stp>##V3_BDHV12</stp>
        <stp>XOM US Equity</stp>
        <stp>EBITDA_PER_SH</stp>
        <stp>FQ4 2000</stp>
        <stp>FQ4 2000</stp>
        <stp>[FA1_ivyerigx.xlsx]Per Share!R12C12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12" s="5"/>
      </tp>
      <tp>
        <v>1.2206999999999999</v>
        <stp/>
        <stp>##V3_BDHV12</stp>
        <stp>XOM US Equity</stp>
        <stp>EBITDA_PER_SH</stp>
        <stp>FQ4 2003</stp>
        <stp>FQ4 2003</stp>
        <stp>[FA1_ivyerigx.xlsx]Per Share!R12C24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12" s="5"/>
      </tp>
      <tp>
        <v>3.4319000000000002</v>
        <stp/>
        <stp>##V3_BDHV12</stp>
        <stp>XOM US Equity</stp>
        <stp>EBITDA_PER_SH</stp>
        <stp>FQ4 2007</stp>
        <stp>FQ4 2007</stp>
        <stp>[FA1_ivyerigx.xlsx]Per Share!R12C40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12" s="5"/>
      </tp>
      <tp>
        <v>14955</v>
        <stp/>
        <stp>##V3_BDHV12</stp>
        <stp>XOM US Equity</stp>
        <stp>IS_OPER_INC</stp>
        <stp>FQ4 2005</stp>
        <stp>FQ4 2005</stp>
        <stp>[FA1_ivyerigx.xlsx]Income - Adjusted!R12C32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2" s="2"/>
      </tp>
      <tp>
        <v>2674</v>
        <stp/>
        <stp>##V3_BDHV12</stp>
        <stp>XOM US Equity</stp>
        <stp>IS_OPER_INC</stp>
        <stp>FQ4 2001</stp>
        <stp>FQ4 2001</stp>
        <stp>[FA1_ivyerigx.xlsx]Income - Adjusted!R12C16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2" s="2"/>
      </tp>
      <tp>
        <v>5539</v>
        <stp/>
        <stp>##V3_BDHV12</stp>
        <stp>XOM US Equity</stp>
        <stp>IS_OPER_INC</stp>
        <stp>FQ4 2003</stp>
        <stp>FQ4 2003</stp>
        <stp>[FA1_ivyerigx.xlsx]Income - Adjusted!R12C24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2" s="2"/>
      </tp>
      <tp>
        <v>15456</v>
        <stp/>
        <stp>##V3_BDHV12</stp>
        <stp>XOM US Equity</stp>
        <stp>IS_OPER_INC</stp>
        <stp>FQ4 2007</stp>
        <stp>FQ4 2007</stp>
        <stp>[FA1_ivyerigx.xlsx]Income - Adjusted!R12C40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2" s="2"/>
      </tp>
      <tp>
        <v>0</v>
        <stp/>
        <stp>##V3_BDHV12</stp>
        <stp>XOM US Equity</stp>
        <stp>CF_INCR_CAP_STOCK</stp>
        <stp>FQ3 2002</stp>
        <stp>FQ3 2002</stp>
        <stp>[FA1_ivyerigx.xlsx]Cash Flow - Standardized!R31C19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1" s="4"/>
      </tp>
      <tp>
        <v>487</v>
        <stp/>
        <stp>##V3_BDHV12</stp>
        <stp>XOM US Equity</stp>
        <stp>IS_OPER_INC</stp>
        <stp>FQ1 1999</stp>
        <stp>FQ1 1999</stp>
        <stp>[FA1_ivyerigx.xlsx]Income - Adjusted!R12C5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2020</v>
        <stp/>
        <stp>##V3_BDHV12</stp>
        <stp>XOM US Equity</stp>
        <stp>IS_OPER_INC</stp>
        <stp>FQ3 1999</stp>
        <stp>FQ3 1999</stp>
        <stp>[FA1_ivyerigx.xlsx]Income - Adjusted!R12C7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>
        <v>1194</v>
        <stp/>
        <stp>##V3_BDHV12</stp>
        <stp>XOM US Equity</stp>
        <stp>IS_OPER_INC</stp>
        <stp>FQ2 1999</stp>
        <stp>FQ2 1999</stp>
        <stp>[FA1_ivyerigx.xlsx]Income - Adjusted!R12C6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858</v>
        <stp/>
        <stp>##V3_BDHV12</stp>
        <stp>XOM US Equity</stp>
        <stp>CF_CASH_FROM_INV_ACT</stp>
        <stp>FQ1 2000</stp>
        <stp>FQ1 2000</stp>
        <stp>[FA1_ivyerigx.xlsx]Cash Flow - Standardized!R25C9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5" s="4"/>
      </tp>
      <tp>
        <v>36.906300000000002</v>
        <stp/>
        <stp>##V3_BDHV12</stp>
        <stp>XOM US Equity</stp>
        <stp>PX_HIGH</stp>
        <stp>FQ3 1998</stp>
        <stp>FQ3 1998</stp>
        <stp>[FA1_ivyerigx.xlsx]Stock Value!R9C3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9" s="6"/>
      </tp>
      <tp>
        <v>0.62</v>
        <stp/>
        <stp>##V3_BDHV12</stp>
        <stp>XOM US Equity</stp>
        <stp>IS_DIL_EPS_CONT_OPS</stp>
        <stp>FQ2 2003</stp>
        <stp>FQ2 2003</stp>
        <stp>[FA1_ivyerigx.xlsx]Per Share!R19C22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9" s="5"/>
      </tp>
      <tp>
        <v>0.6</v>
        <stp/>
        <stp>##V3_BDHV12</stp>
        <stp>XOM US Equity</stp>
        <stp>IS_DIL_EPS_CONT_OPS</stp>
        <stp>FQ3 2000</stp>
        <stp>FQ3 2000</stp>
        <stp>[FA1_ivyerigx.xlsx]Per Share!R19C11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9" s="5"/>
      </tp>
      <tp>
        <v>0.83</v>
        <stp/>
        <stp>##V3_BDHV12</stp>
        <stp>XOM US Equity</stp>
        <stp>IS_DIL_EPS_CONT_OPS</stp>
        <stp>FQ1 2004</stp>
        <stp>FQ1 2004</stp>
        <stp>[FA1_ivyerigx.xlsx]Per Share!R19C25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9" s="5"/>
      </tp>
      <tp>
        <v>1.58</v>
        <stp/>
        <stp>##V3_BDHV12</stp>
        <stp>XOM US Equity</stp>
        <stp>IS_DIL_EPS_BEF_XO</stp>
        <stp>FQ3 2005</stp>
        <stp>FQ3 2005</stp>
        <stp>[FA1_ivyerigx.xlsx]Income - Adjusted!R40C31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0" s="2"/>
      </tp>
      <tp>
        <v>0.46</v>
        <stp/>
        <stp>##V3_BDHV12</stp>
        <stp>XOM US Equity</stp>
        <stp>IS_DIL_EPS_BEF_XO</stp>
        <stp>FQ3 2001</stp>
        <stp>FQ3 2001</stp>
        <stp>[FA1_ivyerigx.xlsx]Income - Adjusted!R40C15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0" s="2"/>
      </tp>
      <tp>
        <v>1</v>
        <stp/>
        <stp>##V3_BDHV12</stp>
        <stp>XOM US Equity</stp>
        <stp>IS_TOT_CASH_PFD_DVD</stp>
        <stp>FQ2 1999</stp>
        <stp>FQ2 1999</stp>
        <stp>[FA1_ivyerigx.xlsx]Income - Adjusted!R25C6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2"/>
      </tp>
      <tp>
        <v>266758</v>
        <stp/>
        <stp>##V3_BDHV12</stp>
        <stp>XOM US Equity</stp>
        <stp>BS_TOT_ASSET</stp>
        <stp>FQ2 2008</stp>
        <stp>FQ2 2008</stp>
        <stp>[FA1_ivyerigx.xlsx]Bal Sheet - Standardized!R27C42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7" s="3"/>
      </tp>
      <tp>
        <v>195256</v>
        <stp/>
        <stp>##V3_BDHV12</stp>
        <stp>XOM US Equity</stp>
        <stp>BS_TOT_ASSET</stp>
        <stp>FQ4 2004</stp>
        <stp>FQ4 2004</stp>
        <stp>[FA1_ivyerigx.xlsx]Bal Sheet - Standardized!R27C28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7" s="3"/>
      </tp>
      <tp>
        <v>152644</v>
        <stp/>
        <stp>##V3_BDHV12</stp>
        <stp>XOM US Equity</stp>
        <stp>BS_TOT_ASSET</stp>
        <stp>FQ4 2002</stp>
        <stp>FQ4 2002</stp>
        <stp>[FA1_ivyerigx.xlsx]Bal Sheet - Standardized!R27C20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7" s="3"/>
      </tp>
      <tp>
        <v>174278</v>
        <stp/>
        <stp>##V3_BDHV12</stp>
        <stp>XOM US Equity</stp>
        <stp>BS_TOT_ASSET</stp>
        <stp>FQ4 2003</stp>
        <stp>FQ4 2003</stp>
        <stp>[FA1_ivyerigx.xlsx]Bal Sheet - Standardized!R27C24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7" s="3"/>
      </tp>
      <tp>
        <v>13368</v>
        <stp/>
        <stp>##V3_BDHV12</stp>
        <stp>XOM US Equity</stp>
        <stp>EBIT</stp>
        <stp>FQ1 2007</stp>
        <stp>FQ1 2007</stp>
        <stp>[FA1_ivyerigx.xlsx]Income - Adjusted!R48C37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48" s="2"/>
      </tp>
      <tp>
        <v>5023</v>
        <stp/>
        <stp>##V3_BDHV12</stp>
        <stp>XOM US Equity</stp>
        <stp>EBIT</stp>
        <stp>FQ3 2003</stp>
        <stp>FQ3 2003</stp>
        <stp>[FA1_ivyerigx.xlsx]Income - Adjusted!R48C23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48" s="2"/>
      </tp>
      <tp>
        <v>6124</v>
        <stp/>
        <stp>##V3_BDHV12</stp>
        <stp>XOM US Equity</stp>
        <stp>EBIT</stp>
        <stp>FQ2 2000</stp>
        <stp>FQ2 2000</stp>
        <stp>[FA1_ivyerigx.xlsx]Income - Adjusted!R48C10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48" s="2"/>
      </tp>
      <tp>
        <v>12816</v>
        <stp/>
        <stp>##V3_BDHV12</stp>
        <stp>XOM US Equity</stp>
        <stp>EBIT</stp>
        <stp>FQ4 2006</stp>
        <stp>FQ4 2006</stp>
        <stp>[FA1_ivyerigx.xlsx]Income - Adjusted!R48C36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48" s="2"/>
      </tp>
      <tp>
        <v>37074</v>
        <stp/>
        <stp>##V3_BDHV12</stp>
        <stp>XOM US Equity</stp>
        <stp>NON_CUR_LIAB</stp>
        <stp>FQ4 2001</stp>
        <stp>FQ4 2001</stp>
        <stp>[FA1_ivyerigx.xlsx]Bal Sheet - Standardized!R39C16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9" s="3"/>
      </tp>
      <tp t="s">
        <v>—</v>
        <stp/>
        <stp>##V3_BDHV12</stp>
        <stp>XOM US Equity</stp>
        <stp>IS_FOREIGN_EXCH_LOSS</stp>
        <stp>FQ3 2005</stp>
        <stp>FQ3 2005</stp>
        <stp>[FA1_ivyerigx.xlsx]Income - Adjusted!R15C31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5" s="2"/>
      </tp>
      <tp t="s">
        <v>—</v>
        <stp/>
        <stp>##V3_BDHV12</stp>
        <stp>XOM US Equity</stp>
        <stp>IS_FOREIGN_EXCH_LOSS</stp>
        <stp>FQ3 2001</stp>
        <stp>FQ3 2001</stp>
        <stp>[FA1_ivyerigx.xlsx]Income - Adjusted!R15C15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5" s="2"/>
      </tp>
      <tp>
        <v>36822</v>
        <stp/>
        <stp>##V3_BDHV12</stp>
        <stp>XOM US Equity</stp>
        <stp>NON_CUR_LIAB</stp>
        <stp>FQ4 2000</stp>
        <stp>FQ4 2000</stp>
        <stp>[FA1_ivyerigx.xlsx]Bal Sheet - Standardized!R39C12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9" s="3"/>
      </tp>
      <tp>
        <v>64080</v>
        <stp/>
        <stp>##V3_BDHV12</stp>
        <stp>XOM US Equity</stp>
        <stp>NON_CUR_LIAB</stp>
        <stp>FQ1 2008</stp>
        <stp>FQ1 2008</stp>
        <stp>[FA1_ivyerigx.xlsx]Bal Sheet - Standardized!R39C41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9" s="3"/>
      </tp>
      <tp>
        <v>0.4</v>
        <stp/>
        <stp>##V3_BDHV12</stp>
        <stp>XOM US Equity</stp>
        <stp>IS_EARN_BEF_XO_ITEMS_PER_SH</stp>
        <stp>FQ2 2002</stp>
        <stp>FQ2 2002</stp>
        <stp>[FA1_ivyerigx.xlsx]Income - Adjusted!R35C18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35" s="2"/>
      </tp>
      <tp>
        <v>2.25</v>
        <stp/>
        <stp>##V3_BDHV12</stp>
        <stp>XOM US Equity</stp>
        <stp>IS_EARN_BEF_XO_ITEMS_PER_SH</stp>
        <stp>FQ2 2008</stp>
        <stp>FQ2 2008</stp>
        <stp>[FA1_ivyerigx.xlsx]Income - Adjusted!R35C42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35" s="2"/>
      </tp>
      <tp>
        <v>0.47499999999999998</v>
        <stp/>
        <stp>##V3_BDHV12</stp>
        <stp>XOM US Equity</stp>
        <stp>IS_DIL_EPS_CONT_OPS</stp>
        <stp>FQ1 2000</stp>
        <stp>FQ1 2000</stp>
        <stp>[FA1_ivyerigx.xlsx]Income - Adjusted!R41C9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1" s="2"/>
      </tp>
      <tp>
        <v>-8068</v>
        <stp/>
        <stp>##V3_BDHV12</stp>
        <stp>XOM US Equity</stp>
        <stp>CFF_ACTIVITIES_DETAILED</stp>
        <stp>FQ4 2005</stp>
        <stp>FQ4 2005</stp>
        <stp>[FA1_ivyerigx.xlsx]Cash Flow - Standardized!R33C32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3" s="4"/>
      </tp>
      <tp>
        <v>-9886</v>
        <stp/>
        <stp>##V3_BDHV12</stp>
        <stp>XOM US Equity</stp>
        <stp>CFF_ACTIVITIES_DETAILED</stp>
        <stp>FQ4 2006</stp>
        <stp>FQ4 2006</stp>
        <stp>[FA1_ivyerigx.xlsx]Cash Flow - Standardized!R33C36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3" s="4"/>
      </tp>
      <tp>
        <v>13939</v>
        <stp/>
        <stp>##V3_BDHV12</stp>
        <stp>XOM US Equity</stp>
        <stp>IS_OPERATING_EXPN</stp>
        <stp>FQ3 2004</stp>
        <stp>FQ3 2004</stp>
        <stp>[FA1_ivyerigx.xlsx]Income - Adjusted!R10C27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0" s="2"/>
      </tp>
      <tp>
        <v>3764</v>
        <stp/>
        <stp>##V3_BDHV12</stp>
        <stp>XOM US Equity</stp>
        <stp>IS_OPERATING_EXPN</stp>
        <stp>FQ3 2006</stp>
        <stp>FQ3 2006</stp>
        <stp>[FA1_ivyerigx.xlsx]Income - Adjusted!R10C35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0" s="2"/>
      </tp>
      <tp>
        <v>298</v>
        <stp/>
        <stp>##V3_BDHV12</stp>
        <stp>XOM US Equity</stp>
        <stp>CF_INCR_CAP_STOCK</stp>
        <stp>FQ4 2000</stp>
        <stp>FQ4 2000</stp>
        <stp>[FA1_ivyerigx.xlsx]Cash Flow - Standardized!R31C12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1" s="4"/>
      </tp>
      <tp>
        <v>301</v>
        <stp/>
        <stp>##V3_BDHV12</stp>
        <stp>XOM US Equity</stp>
        <stp>CF_INCR_CAP_STOCK</stp>
        <stp>FQ4 2001</stp>
        <stp>FQ4 2001</stp>
        <stp>[FA1_ivyerigx.xlsx]Cash Flow - Standardized!R31C16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1" s="4"/>
      </tp>
      <tp>
        <v>13368</v>
        <stp/>
        <stp>##V3_BDHV12</stp>
        <stp>XOM US Equity</stp>
        <stp>IS_OPER_INC</stp>
        <stp>FQ1 2007</stp>
        <stp>FQ1 2007</stp>
        <stp>[FA1_ivyerigx.xlsx]Income - Adjusted!R12C37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2" s="2"/>
      </tp>
      <tp>
        <v>5023</v>
        <stp/>
        <stp>##V3_BDHV12</stp>
        <stp>XOM US Equity</stp>
        <stp>IS_OPER_INC</stp>
        <stp>FQ3 2003</stp>
        <stp>FQ3 2003</stp>
        <stp>[FA1_ivyerigx.xlsx]Income - Adjusted!R12C23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2" s="2"/>
      </tp>
      <tp>
        <v>6124</v>
        <stp/>
        <stp>##V3_BDHV12</stp>
        <stp>XOM US Equity</stp>
        <stp>IS_OPER_INC</stp>
        <stp>FQ2 2000</stp>
        <stp>FQ2 2000</stp>
        <stp>[FA1_ivyerigx.xlsx]Income - Adjusted!R12C10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12816</v>
        <stp/>
        <stp>##V3_BDHV12</stp>
        <stp>XOM US Equity</stp>
        <stp>IS_OPER_INC</stp>
        <stp>FQ4 2006</stp>
        <stp>FQ4 2006</stp>
        <stp>[FA1_ivyerigx.xlsx]Income - Adjusted!R12C36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2" s="2"/>
      </tp>
      <tp>
        <v>131</v>
        <stp/>
        <stp>##V3_BDHV12</stp>
        <stp>XOM US Equity</stp>
        <stp>CF_INCR_CAP_STOCK</stp>
        <stp>FQ1 2008</stp>
        <stp>FQ1 2008</stp>
        <stp>[FA1_ivyerigx.xlsx]Cash Flow - Standardized!R31C41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1" s="4"/>
      </tp>
      <tp>
        <v>38.656300000000002</v>
        <stp/>
        <stp>##V3_BDHV12</stp>
        <stp>XOM US Equity</stp>
        <stp>PX_HIGH</stp>
        <stp>FQ4 1998</stp>
        <stp>FQ4 1998</stp>
        <stp>[FA1_ivyerigx.xlsx]Stock Value!R9C4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9" s="6"/>
      </tp>
      <tp>
        <v>38.1875</v>
        <stp/>
        <stp>##V3_BDHV12</stp>
        <stp>XOM US Equity</stp>
        <stp>PX_HIGH</stp>
        <stp>FQ1 1999</stp>
        <stp>FQ1 1999</stp>
        <stp>[FA1_ivyerigx.xlsx]Stock Value!R9C5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9" s="6"/>
      </tp>
      <tp>
        <v>-4580</v>
        <stp/>
        <stp>##V3_BDHV12</stp>
        <stp>XOM US Equity</stp>
        <stp>OTHER_INS_RES_TO_SHRHLDR_EQY</stp>
        <stp>FQ2 2000</stp>
        <stp>FQ2 2000</stp>
        <stp>[FA1_ivyerigx.xlsx]Bal Sheet - Standardized!R45C10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5" s="3"/>
      </tp>
      <tp>
        <v>-5549</v>
        <stp/>
        <stp>##V3_BDHV12</stp>
        <stp>XOM US Equity</stp>
        <stp>OTHER_INS_RES_TO_SHRHLDR_EQY</stp>
        <stp>FQ3 2000</stp>
        <stp>FQ3 2000</stp>
        <stp>[FA1_ivyerigx.xlsx]Bal Sheet - Standardized!R45C11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5" s="3"/>
      </tp>
      <tp>
        <v>1.77</v>
        <stp/>
        <stp>##V3_BDHV12</stp>
        <stp>XOM US Equity</stp>
        <stp>IS_DIL_EPS_BEF_XO</stp>
        <stp>FQ3 2006</stp>
        <stp>FQ3 2006</stp>
        <stp>[FA1_ivyerigx.xlsx]Income - Adjusted!R40C35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0" s="2"/>
      </tp>
      <tp>
        <v>0.88</v>
        <stp/>
        <stp>##V3_BDHV12</stp>
        <stp>XOM US Equity</stp>
        <stp>IS_DIL_EPS_BEF_XO</stp>
        <stp>FQ3 2004</stp>
        <stp>FQ3 2004</stp>
        <stp>[FA1_ivyerigx.xlsx]Income - Adjusted!R40C27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0" s="2"/>
      </tp>
      <tp>
        <v>3480</v>
        <stp/>
        <stp>##V3_BDHV12</stp>
        <stp>XOM US Equity</stp>
        <stp>EARN_FOR_COMMON</stp>
        <stp>FQ1 2000</stp>
        <stp>FQ1 2000</stp>
        <stp>[FA1_ivyerigx.xlsx]Income - Adjusted!R27C9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7" s="2"/>
      </tp>
      <tp>
        <v>228315</v>
        <stp/>
        <stp>##V3_BDHV12</stp>
        <stp>XOM US Equity</stp>
        <stp>BS_TOT_ASSET</stp>
        <stp>FQ2 2007</stp>
        <stp>FQ2 2007</stp>
        <stp>[FA1_ivyerigx.xlsx]Bal Sheet - Standardized!R27C38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7" s="3"/>
      </tp>
      <tp>
        <v>201816</v>
        <stp/>
        <stp>##V3_BDHV12</stp>
        <stp>XOM US Equity</stp>
        <stp>BS_TOT_ASSET</stp>
        <stp>FQ2 2005</stp>
        <stp>FQ2 2005</stp>
        <stp>[FA1_ivyerigx.xlsx]Bal Sheet - Standardized!R27C30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7" s="3"/>
      </tp>
      <tp>
        <v>166987</v>
        <stp/>
        <stp>##V3_BDHV12</stp>
        <stp>XOM US Equity</stp>
        <stp>BS_TOT_ASSET</stp>
        <stp>FQ3 2003</stp>
        <stp>FQ3 2003</stp>
        <stp>[FA1_ivyerigx.xlsx]Bal Sheet - Standardized!R27C23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7" s="3"/>
      </tp>
      <tp>
        <v>15456</v>
        <stp/>
        <stp>##V3_BDHV12</stp>
        <stp>XOM US Equity</stp>
        <stp>EBIT</stp>
        <stp>FQ4 2007</stp>
        <stp>FQ4 2007</stp>
        <stp>[FA1_ivyerigx.xlsx]Income - Adjusted!R48C40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48" s="2"/>
      </tp>
      <tp>
        <v>5539</v>
        <stp/>
        <stp>##V3_BDHV12</stp>
        <stp>XOM US Equity</stp>
        <stp>EBIT</stp>
        <stp>FQ4 2003</stp>
        <stp>FQ4 2003</stp>
        <stp>[FA1_ivyerigx.xlsx]Income - Adjusted!R48C24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48" s="2"/>
      </tp>
      <tp>
        <v>2674</v>
        <stp/>
        <stp>##V3_BDHV12</stp>
        <stp>XOM US Equity</stp>
        <stp>EBIT</stp>
        <stp>FQ4 2001</stp>
        <stp>FQ4 2001</stp>
        <stp>[FA1_ivyerigx.xlsx]Income - Adjusted!R48C16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48" s="2"/>
      </tp>
      <tp>
        <v>14955</v>
        <stp/>
        <stp>##V3_BDHV12</stp>
        <stp>XOM US Equity</stp>
        <stp>EBIT</stp>
        <stp>FQ4 2005</stp>
        <stp>FQ4 2005</stp>
        <stp>[FA1_ivyerigx.xlsx]Income - Adjusted!R48C32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48" s="2"/>
      </tp>
      <tp>
        <v>187433</v>
        <stp/>
        <stp>##V3_BDHV12</stp>
        <stp>XOM US Equity</stp>
        <stp>BS_TOT_ASSET</stp>
        <stp>FQ3 2004</stp>
        <stp>FQ3 2004</stp>
        <stp>[FA1_ivyerigx.xlsx]Bal Sheet - Standardized!R27C27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7" s="3"/>
      </tp>
      <tp>
        <v>221010</v>
        <stp/>
        <stp>##V3_BDHV12</stp>
        <stp>XOM US Equity</stp>
        <stp>BS_TOT_ASSET</stp>
        <stp>FQ2 2006</stp>
        <stp>FQ2 2006</stp>
        <stp>[FA1_ivyerigx.xlsx]Bal Sheet - Standardized!R27C34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7" s="3"/>
      </tp>
      <tp>
        <v>0</v>
        <stp/>
        <stp>##V3_BDHV12</stp>
        <stp>XOM US Equity</stp>
        <stp>CF_INCR_INVEST</stp>
        <stp>FQ4 1999</stp>
        <stp>FQ4 1999</stp>
        <stp>[FA1_ivyerigx.xlsx]Cash Flow - Standardized!R23C8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3" s="4"/>
      </tp>
      <tp>
        <v>58599</v>
        <stp/>
        <stp>##V3_BDHV12</stp>
        <stp>XOM US Equity</stp>
        <stp>NON_CUR_LIAB</stp>
        <stp>FQ1 2007</stp>
        <stp>FQ1 2007</stp>
        <stp>[FA1_ivyerigx.xlsx]Bal Sheet - Standardized!R39C37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9" s="3"/>
      </tp>
      <tp>
        <v>40366</v>
        <stp/>
        <stp>##V3_BDHV12</stp>
        <stp>XOM US Equity</stp>
        <stp>NON_CUR_LIAB</stp>
        <stp>FQ3 2000</stp>
        <stp>FQ3 2000</stp>
        <stp>[FA1_ivyerigx.xlsx]Bal Sheet - Standardized!R39C11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9" s="3"/>
      </tp>
      <tp t="s">
        <v>—</v>
        <stp/>
        <stp>##V3_BDHV12</stp>
        <stp>XOM US Equity</stp>
        <stp>IS_FOREIGN_EXCH_LOSS</stp>
        <stp>FQ3 2006</stp>
        <stp>FQ3 2006</stp>
        <stp>[FA1_ivyerigx.xlsx]Income - Adjusted!R15C35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5" s="2"/>
      </tp>
      <tp t="s">
        <v>—</v>
        <stp/>
        <stp>##V3_BDHV12</stp>
        <stp>XOM US Equity</stp>
        <stp>IS_FOREIGN_EXCH_LOSS</stp>
        <stp>FQ3 2004</stp>
        <stp>FQ3 2004</stp>
        <stp>[FA1_ivyerigx.xlsx]Income - Adjusted!R15C27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5" s="2"/>
      </tp>
      <tp>
        <v>52105</v>
        <stp/>
        <stp>##V3_BDHV12</stp>
        <stp>XOM US Equity</stp>
        <stp>NON_CUR_LIAB</stp>
        <stp>FQ1 2006</stp>
        <stp>FQ1 2006</stp>
        <stp>[FA1_ivyerigx.xlsx]Bal Sheet - Standardized!R39C33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9" s="3"/>
      </tp>
      <tp>
        <v>39514</v>
        <stp/>
        <stp>##V3_BDHV12</stp>
        <stp>XOM US Equity</stp>
        <stp>NON_CUR_LIAB</stp>
        <stp>FQ3 2001</stp>
        <stp>FQ3 2001</stp>
        <stp>[FA1_ivyerigx.xlsx]Bal Sheet - Standardized!R39C15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9" s="3"/>
      </tp>
      <tp>
        <v>41724</v>
        <stp/>
        <stp>##V3_BDHV12</stp>
        <stp>XOM US Equity</stp>
        <stp>NON_CUR_LIAB</stp>
        <stp>FQ3 2002</stp>
        <stp>FQ3 2002</stp>
        <stp>[FA1_ivyerigx.xlsx]Bal Sheet - Standardized!R39C19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9" s="3"/>
      </tp>
      <tp>
        <v>0</v>
        <stp/>
        <stp>##V3_BDHV12</stp>
        <stp>XOM US Equity</stp>
        <stp>CF_INCR_INVEST</stp>
        <stp>FQ3 1999</stp>
        <stp>FQ3 1999</stp>
        <stp>[FA1_ivyerigx.xlsx]Cash Flow - Standardized!R23C7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3" s="4"/>
      </tp>
      <tp>
        <v>0</v>
        <stp/>
        <stp>##V3_BDHV12</stp>
        <stp>XOM US Equity</stp>
        <stp>CF_INCR_INVEST</stp>
        <stp>FQ2 1999</stp>
        <stp>FQ2 1999</stp>
        <stp>[FA1_ivyerigx.xlsx]Cash Flow - Standardized!R23C6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3" s="4"/>
      </tp>
      <tp>
        <v>0</v>
        <stp/>
        <stp>##V3_BDHV12</stp>
        <stp>XOM US Equity</stp>
        <stp>CF_INCR_INVEST</stp>
        <stp>FQ1 1999</stp>
        <stp>FQ1 1999</stp>
        <stp>[FA1_ivyerigx.xlsx]Cash Flow - Standardized!R23C5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3" s="4"/>
      </tp>
      <tp>
        <v>0</v>
        <stp/>
        <stp>##V3_BDHV12</stp>
        <stp>XOM US Equity</stp>
        <stp>CF_INCR_INVEST</stp>
        <stp>FQ3 1998</stp>
        <stp>FQ3 1998</stp>
        <stp>[FA1_ivyerigx.xlsx]Cash Flow - Standardized!R23C3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3" s="4"/>
      </tp>
      <tp>
        <v>0</v>
        <stp/>
        <stp>##V3_BDHV12</stp>
        <stp>XOM US Equity</stp>
        <stp>CF_INCR_INVEST</stp>
        <stp>FQ4 1998</stp>
        <stp>FQ4 1998</stp>
        <stp>[FA1_ivyerigx.xlsx]Cash Flow - Standardized!R23C4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3" s="4"/>
      </tp>
      <tp>
        <v>0.28810000000000002</v>
        <stp/>
        <stp>##V3_BDHV12</stp>
        <stp>XOM US Equity</stp>
        <stp>FREE_CASH_FLOW_PER_SH</stp>
        <stp>FQ3 1998</stp>
        <stp>FQ3 1998</stp>
        <stp>[FA1_ivyerigx.xlsx]Cash Flow - Standardized!R49C3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9" s="4"/>
      </tp>
      <tp>
        <v>3.8899999999999997E-2</v>
        <stp/>
        <stp>##V3_BDHV12</stp>
        <stp>XOM US Equity</stp>
        <stp>FREE_CASH_FLOW_PER_SH</stp>
        <stp>FQ4 1998</stp>
        <stp>FQ4 1998</stp>
        <stp>[FA1_ivyerigx.xlsx]Cash Flow - Standardized!R49C4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9" s="4"/>
      </tp>
      <tp>
        <v>-9114</v>
        <stp/>
        <stp>##V3_BDHV12</stp>
        <stp>XOM US Equity</stp>
        <stp>CFF_ACTIVITIES_DETAILED</stp>
        <stp>FQ4 2007</stp>
        <stp>FQ4 2007</stp>
        <stp>[FA1_ivyerigx.xlsx]Cash Flow - Standardized!R33C40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3" s="4"/>
      </tp>
      <tp>
        <v>-3520</v>
        <stp/>
        <stp>##V3_BDHV12</stp>
        <stp>XOM US Equity</stp>
        <stp>CFF_ACTIVITIES_DETAILED</stp>
        <stp>FQ2 2003</stp>
        <stp>FQ2 2003</stp>
        <stp>[FA1_ivyerigx.xlsx]Cash Flow - Standardized!R33C22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3" s="4"/>
      </tp>
      <tp>
        <v>-3811</v>
        <stp/>
        <stp>##V3_BDHV12</stp>
        <stp>XOM US Equity</stp>
        <stp>CFF_ACTIVITIES_DETAILED</stp>
        <stp>FQ1 2001</stp>
        <stp>FQ1 2001</stp>
        <stp>[FA1_ivyerigx.xlsx]Cash Flow - Standardized!R33C13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3" s="4"/>
      </tp>
      <tp>
        <v>-9888</v>
        <stp/>
        <stp>##V3_BDHV12</stp>
        <stp>XOM US Equity</stp>
        <stp>CFF_ACTIVITIES_DETAILED</stp>
        <stp>FQ3 2006</stp>
        <stp>FQ3 2006</stp>
        <stp>[FA1_ivyerigx.xlsx]Cash Flow - Standardized!R33C35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3" s="4"/>
      </tp>
      <tp>
        <v>-3800</v>
        <stp/>
        <stp>##V3_BDHV12</stp>
        <stp>XOM US Equity</stp>
        <stp>CFF_ACTIVITIES_DETAILED</stp>
        <stp>FQ2 2004</stp>
        <stp>FQ2 2004</stp>
        <stp>[FA1_ivyerigx.xlsx]Cash Flow - Standardized!R33C26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3" s="4"/>
      </tp>
      <tp>
        <v>-8010</v>
        <stp/>
        <stp>##V3_BDHV12</stp>
        <stp>XOM US Equity</stp>
        <stp>CFF_ACTIVITIES_DETAILED</stp>
        <stp>FQ3 2005</stp>
        <stp>FQ3 2005</stp>
        <stp>[FA1_ivyerigx.xlsx]Cash Flow - Standardized!R33C31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3" s="4"/>
      </tp>
      <tp>
        <v>-3312</v>
        <stp/>
        <stp>##V3_BDHV12</stp>
        <stp>XOM US Equity</stp>
        <stp>CFF_ACTIVITIES_DETAILED</stp>
        <stp>FQ1 2002</stp>
        <stp>FQ1 2002</stp>
        <stp>[FA1_ivyerigx.xlsx]Cash Flow - Standardized!R33C17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3" s="4"/>
      </tp>
      <tp>
        <v>3514</v>
        <stp/>
        <stp>##V3_BDHV12</stp>
        <stp>XOM US Equity</stp>
        <stp>IS_OPERATING_EXPN</stp>
        <stp>FQ3 2001</stp>
        <stp>FQ3 2001</stp>
        <stp>[FA1_ivyerigx.xlsx]Income - Adjusted!R10C15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10" s="2"/>
      </tp>
      <tp>
        <v>4013</v>
        <stp/>
        <stp>##V3_BDHV12</stp>
        <stp>XOM US Equity</stp>
        <stp>IS_OPERATING_EXPN</stp>
        <stp>FQ3 2005</stp>
        <stp>FQ3 2005</stp>
        <stp>[FA1_ivyerigx.xlsx]Income - Adjusted!R10C31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10" s="2"/>
      </tp>
      <tp>
        <v>-8857</v>
        <stp/>
        <stp>##V3_BDHV12</stp>
        <stp>XOM US Equity</stp>
        <stp>CFF_ACTIVITIES_DETAILED</stp>
        <stp>FQ3 2007</stp>
        <stp>FQ3 2007</stp>
        <stp>[FA1_ivyerigx.xlsx]Cash Flow - Standardized!R33C39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3" s="4"/>
      </tp>
      <tp>
        <v>7622</v>
        <stp/>
        <stp>##V3_BDHV12</stp>
        <stp>XOM US Equity</stp>
        <stp>IS_OPER_INC</stp>
        <stp>FQ1 2004</stp>
        <stp>FQ1 2004</stp>
        <stp>[FA1_ivyerigx.xlsx]Income - Adjusted!R12C25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2" s="2"/>
      </tp>
      <tp>
        <v>6179</v>
        <stp/>
        <stp>##V3_BDHV12</stp>
        <stp>XOM US Equity</stp>
        <stp>IS_OPER_INC</stp>
        <stp>FQ3 2000</stp>
        <stp>FQ3 2000</stp>
        <stp>[FA1_ivyerigx.xlsx]Income - Adjusted!R12C11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>
        <v>5920</v>
        <stp/>
        <stp>##V3_BDHV12</stp>
        <stp>XOM US Equity</stp>
        <stp>IS_OPER_INC</stp>
        <stp>FQ2 2003</stp>
        <stp>FQ2 2003</stp>
        <stp>[FA1_ivyerigx.xlsx]Income - Adjusted!R12C22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2" s="2"/>
      </tp>
      <tp>
        <v>-1148</v>
        <stp/>
        <stp>##V3_BDHV12</stp>
        <stp>XOM US Equity</stp>
        <stp>OTHER_INS_RES_TO_SHRHLDR_EQY</stp>
        <stp>FQ4 2003</stp>
        <stp>FQ4 2003</stp>
        <stp>[FA1_ivyerigx.xlsx]Bal Sheet - Standardized!R45C24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5" s="3"/>
      </tp>
      <tp>
        <v>-3603</v>
        <stp/>
        <stp>##V3_BDHV12</stp>
        <stp>XOM US Equity</stp>
        <stp>OTHER_INS_RES_TO_SHRHLDR_EQY</stp>
        <stp>FQ3 2003</stp>
        <stp>FQ3 2003</stp>
        <stp>[FA1_ivyerigx.xlsx]Bal Sheet - Standardized!R45C23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5" s="3"/>
      </tp>
      <tp>
        <v>-4366</v>
        <stp/>
        <stp>##V3_BDHV12</stp>
        <stp>XOM US Equity</stp>
        <stp>OTHER_INS_RES_TO_SHRHLDR_EQY</stp>
        <stp>FQ2 2003</stp>
        <stp>FQ2 2003</stp>
        <stp>[FA1_ivyerigx.xlsx]Bal Sheet - Standardized!R45C22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5" s="3"/>
      </tp>
      <tp>
        <v>-5934</v>
        <stp/>
        <stp>##V3_BDHV12</stp>
        <stp>XOM US Equity</stp>
        <stp>OTHER_INS_RES_TO_SHRHLDR_EQY</stp>
        <stp>FQ1 2003</stp>
        <stp>FQ1 2003</stp>
        <stp>[FA1_ivyerigx.xlsx]Bal Sheet - Standardized!R45C21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5" s="3"/>
      </tp>
      <tp>
        <v>-6749</v>
        <stp/>
        <stp>##V3_BDHV12</stp>
        <stp>XOM US Equity</stp>
        <stp>OTHER_INS_RES_TO_SHRHLDR_EQY</stp>
        <stp>FQ4 2001</stp>
        <stp>FQ4 2001</stp>
        <stp>[FA1_ivyerigx.xlsx]Bal Sheet - Standardized!R45C16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5" s="3"/>
      </tp>
      <tp>
        <v>-6423</v>
        <stp/>
        <stp>##V3_BDHV12</stp>
        <stp>XOM US Equity</stp>
        <stp>OTHER_INS_RES_TO_SHRHLDR_EQY</stp>
        <stp>FQ1 2001</stp>
        <stp>FQ1 2001</stp>
        <stp>[FA1_ivyerigx.xlsx]Bal Sheet - Standardized!R45C13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5" s="3"/>
      </tp>
      <tp>
        <v>1.65</v>
        <stp/>
        <stp>##V3_BDHV12</stp>
        <stp>XOM US Equity</stp>
        <stp>IS_DIL_EPS_CONT_OPS</stp>
        <stp>FQ4 2005</stp>
        <stp>FQ4 2005</stp>
        <stp>[FA1_ivyerigx.xlsx]Per Share!R19C32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9" s="5"/>
      </tp>
      <tp>
        <v>2.13</v>
        <stp/>
        <stp>##V3_BDHV12</stp>
        <stp>XOM US Equity</stp>
        <stp>IS_DIL_EPS_CONT_OPS</stp>
        <stp>FQ4 2007</stp>
        <stp>FQ4 2007</stp>
        <stp>[FA1_ivyerigx.xlsx]Per Share!R19C40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9" s="5"/>
      </tp>
      <tp>
        <v>0.44</v>
        <stp/>
        <stp>##V3_BDHV12</stp>
        <stp>XOM US Equity</stp>
        <stp>IS_DIL_EPS_CONT_OPS</stp>
        <stp>FQ4 2001</stp>
        <stp>FQ4 2001</stp>
        <stp>[FA1_ivyerigx.xlsx]Per Share!R19C16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9" s="5"/>
      </tp>
      <tp>
        <v>0.66800000000000004</v>
        <stp/>
        <stp>##V3_BDHV12</stp>
        <stp>XOM US Equity</stp>
        <stp>IS_DIL_EPS_CONT_OPS</stp>
        <stp>FQ4 2003</stp>
        <stp>FQ4 2003</stp>
        <stp>[FA1_ivyerigx.xlsx]Per Share!R19C24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9" s="5"/>
      </tp>
      <tp>
        <v>1989</v>
        <stp/>
        <stp>##V3_BDHV12</stp>
        <stp>XOM US Equity</stp>
        <stp>OTHER_INS_RES_TO_SHRHLDR_EQY</stp>
        <stp>FQ4 2007</stp>
        <stp>FQ4 2007</stp>
        <stp>[FA1_ivyerigx.xlsx]Bal Sheet - Standardized!R45C40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5" s="3"/>
      </tp>
      <tp>
        <v>-2545</v>
        <stp/>
        <stp>##V3_BDHV12</stp>
        <stp>XOM US Equity</stp>
        <stp>OTHER_INS_RES_TO_SHRHLDR_EQY</stp>
        <stp>FQ4 2005</stp>
        <stp>FQ4 2005</stp>
        <stp>[FA1_ivyerigx.xlsx]Bal Sheet - Standardized!R45C32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5" s="3"/>
      </tp>
      <tp>
        <v>0.76</v>
        <stp/>
        <stp>##V3_BDHV12</stp>
        <stp>XOM US Equity</stp>
        <stp>IS_DIL_EPS_BEF_XO</stp>
        <stp>FQ4 2000</stp>
        <stp>FQ4 2000</stp>
        <stp>[FA1_ivyerigx.xlsx]Income - Adjusted!R40C12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0" s="2"/>
      </tp>
      <tp>
        <v>0.54</v>
        <stp/>
        <stp>##V3_BDHV12</stp>
        <stp>XOM US Equity</stp>
        <stp>IS_DIL_EPS_BEF_XO</stp>
        <stp>FQ4 2002</stp>
        <stp>FQ4 2002</stp>
        <stp>[FA1_ivyerigx.xlsx]Income - Adjusted!R40C20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0" s="2"/>
      </tp>
      <tp>
        <v>1.72</v>
        <stp/>
        <stp>##V3_BDHV12</stp>
        <stp>XOM US Equity</stp>
        <stp>IS_DIL_EPS_BEF_XO</stp>
        <stp>FQ2 2006</stp>
        <stp>FQ2 2006</stp>
        <stp>[FA1_ivyerigx.xlsx]Income - Adjusted!R40C34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0" s="2"/>
      </tp>
      <tp>
        <v>0.88</v>
        <stp/>
        <stp>##V3_BDHV12</stp>
        <stp>XOM US Equity</stp>
        <stp>IS_DIL_EPS_BEF_XO</stp>
        <stp>FQ2 2004</stp>
        <stp>FQ2 2004</stp>
        <stp>[FA1_ivyerigx.xlsx]Income - Adjusted!R40C26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0" s="2"/>
      </tp>
      <tp>
        <v>0.7</v>
        <stp/>
        <stp>##V3_BDHV12</stp>
        <stp>XOM US Equity</stp>
        <stp>IS_DIL_EPS_BEF_XO</stp>
        <stp>FQ1 2001</stp>
        <stp>FQ1 2001</stp>
        <stp>[FA1_ivyerigx.xlsx]Income - Adjusted!R40C13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0" s="2"/>
      </tp>
      <tp>
        <v>0.97</v>
        <stp/>
        <stp>##V3_BDHV12</stp>
        <stp>XOM US Equity</stp>
        <stp>IS_DIL_EPS_BEF_XO</stp>
        <stp>FQ1 2003</stp>
        <stp>FQ1 2003</stp>
        <stp>[FA1_ivyerigx.xlsx]Income - Adjusted!R40C21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0" s="2"/>
      </tp>
      <tp>
        <v>236661</v>
        <stp/>
        <stp>##V3_BDHV12</stp>
        <stp>XOM US Equity</stp>
        <stp>BS_TOT_ASSET</stp>
        <stp>FQ3 2007</stp>
        <stp>FQ3 2007</stp>
        <stp>[FA1_ivyerigx.xlsx]Bal Sheet - Standardized!R27C39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7" s="3"/>
      </tp>
      <tp>
        <v>6906</v>
        <stp/>
        <stp>##V3_BDHV12</stp>
        <stp>XOM US Equity</stp>
        <stp>IS_SH_FOR_DILUTED_EPS</stp>
        <stp>FQ4 1999</stp>
        <stp>FQ4 1999</stp>
        <stp>[FA1_ivyerigx.xlsx]Per Share!R7C8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7" s="5"/>
      </tp>
      <tp t="s">
        <v>—</v>
        <stp/>
        <stp>##V3_BDHV12</stp>
        <stp>XOM US Equity</stp>
        <stp>IS_TOT_CASH_PFD_DVD</stp>
        <stp>FQ4 1998</stp>
        <stp>FQ4 1998</stp>
        <stp>[FA1_ivyerigx.xlsx]Income - Adjusted!R25C4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2"/>
      </tp>
      <tp>
        <v>0</v>
        <stp/>
        <stp>##V3_BDHV12</stp>
        <stp>XOM US Equity</stp>
        <stp>IS_TOT_CASH_PFD_DVD</stp>
        <stp>FQ4 1999</stp>
        <stp>FQ4 1999</stp>
        <stp>[FA1_ivyerigx.xlsx]Income - Adjusted!R25C8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2"/>
      </tp>
      <tp>
        <v>209721</v>
        <stp/>
        <stp>##V3_BDHV12</stp>
        <stp>XOM US Equity</stp>
        <stp>BS_TOT_ASSET</stp>
        <stp>FQ3 2005</stp>
        <stp>FQ3 2005</stp>
        <stp>[FA1_ivyerigx.xlsx]Bal Sheet - Standardized!R27C31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7" s="3"/>
      </tp>
      <tp>
        <v>142037</v>
        <stp/>
        <stp>##V3_BDHV12</stp>
        <stp>XOM US Equity</stp>
        <stp>BS_TOT_ASSET</stp>
        <stp>FQ1 2002</stp>
        <stp>FQ1 2002</stp>
        <stp>[FA1_ivyerigx.xlsx]Bal Sheet - Standardized!R27C17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7" s="3"/>
      </tp>
      <tp>
        <v>242082</v>
        <stp/>
        <stp>##V3_BDHV12</stp>
        <stp>XOM US Equity</stp>
        <stp>BS_TOT_ASSET</stp>
        <stp>FQ4 2007</stp>
        <stp>FQ4 2007</stp>
        <stp>[FA1_ivyerigx.xlsx]Bal Sheet - Standardized!R27C40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7" s="3"/>
      </tp>
      <tp>
        <v>148786</v>
        <stp/>
        <stp>##V3_BDHV12</stp>
        <stp>XOM US Equity</stp>
        <stp>BS_TOT_ASSET</stp>
        <stp>FQ1 2001</stp>
        <stp>FQ1 2001</stp>
        <stp>[FA1_ivyerigx.xlsx]Bal Sheet - Standardized!R27C13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7" s="3"/>
      </tp>
      <tp>
        <v>165103</v>
        <stp/>
        <stp>##V3_BDHV12</stp>
        <stp>XOM US Equity</stp>
        <stp>BS_TOT_ASSET</stp>
        <stp>FQ2 2003</stp>
        <stp>FQ2 2003</stp>
        <stp>[FA1_ivyerigx.xlsx]Bal Sheet - Standardized!R27C22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7" s="3"/>
      </tp>
      <tp>
        <v>180989</v>
        <stp/>
        <stp>##V3_BDHV12</stp>
        <stp>XOM US Equity</stp>
        <stp>BS_TOT_ASSET</stp>
        <stp>FQ2 2004</stp>
        <stp>FQ2 2004</stp>
        <stp>[FA1_ivyerigx.xlsx]Bal Sheet - Standardized!R27C26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7" s="3"/>
      </tp>
      <tp>
        <v>223947</v>
        <stp/>
        <stp>##V3_BDHV12</stp>
        <stp>XOM US Equity</stp>
        <stp>BS_TOT_ASSET</stp>
        <stp>FQ3 2006</stp>
        <stp>FQ3 2006</stp>
        <stp>[FA1_ivyerigx.xlsx]Bal Sheet - Standardized!R27C35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7" s="3"/>
      </tp>
      <tp>
        <v>46566</v>
        <stp/>
        <stp>##V3_BDHV12</stp>
        <stp>XOM US Equity</stp>
        <stp>NON_CUR_LIAB</stp>
        <stp>FQ1 2004</stp>
        <stp>FQ1 2004</stp>
        <stp>[FA1_ivyerigx.xlsx]Bal Sheet - Standardized!R39C25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9" s="3"/>
      </tp>
      <tp>
        <v>41090</v>
        <stp/>
        <stp>##V3_BDHV12</stp>
        <stp>XOM US Equity</stp>
        <stp>NON_CUR_LIAB</stp>
        <stp>FQ2 2000</stp>
        <stp>FQ2 2000</stp>
        <stp>[FA1_ivyerigx.xlsx]Bal Sheet - Standardized!R39C10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9" s="3"/>
      </tp>
      <tp>
        <v>45258</v>
        <stp/>
        <stp>##V3_BDHV12</stp>
        <stp>XOM US Equity</stp>
        <stp>NON_CUR_LIAB</stp>
        <stp>FQ1 2003</stp>
        <stp>FQ1 2003</stp>
        <stp>[FA1_ivyerigx.xlsx]Bal Sheet - Standardized!R39C21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9" s="3"/>
      </tp>
      <tp t="s">
        <v>—</v>
        <stp/>
        <stp>##V3_BDHV12</stp>
        <stp>XOM US Equity</stp>
        <stp>IS_FOREIGN_EXCH_LOSS</stp>
        <stp>FQ2 2006</stp>
        <stp>FQ2 2006</stp>
        <stp>[FA1_ivyerigx.xlsx]Income - Adjusted!R15C34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5" s="2"/>
      </tp>
      <tp t="s">
        <v>—</v>
        <stp/>
        <stp>##V3_BDHV12</stp>
        <stp>XOM US Equity</stp>
        <stp>IS_FOREIGN_EXCH_LOSS</stp>
        <stp>FQ2 2004</stp>
        <stp>FQ2 2004</stp>
        <stp>[FA1_ivyerigx.xlsx]Income - Adjusted!R15C26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5" s="2"/>
      </tp>
      <tp t="s">
        <v>—</v>
        <stp/>
        <stp>##V3_BDHV12</stp>
        <stp>XOM US Equity</stp>
        <stp>IS_FOREIGN_EXCH_LOSS</stp>
        <stp>FQ1 2001</stp>
        <stp>FQ1 2001</stp>
        <stp>[FA1_ivyerigx.xlsx]Income - Adjusted!R15C13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5" s="2"/>
      </tp>
      <tp t="s">
        <v>—</v>
        <stp/>
        <stp>##V3_BDHV12</stp>
        <stp>XOM US Equity</stp>
        <stp>IS_FOREIGN_EXCH_LOSS</stp>
        <stp>FQ1 2003</stp>
        <stp>FQ1 2003</stp>
        <stp>[FA1_ivyerigx.xlsx]Income - Adjusted!R15C21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5" s="2"/>
      </tp>
      <tp t="s">
        <v>—</v>
        <stp/>
        <stp>##V3_BDHV12</stp>
        <stp>XOM US Equity</stp>
        <stp>IS_FOREIGN_EXCH_LOSS</stp>
        <stp>FQ4 2000</stp>
        <stp>FQ4 2000</stp>
        <stp>[FA1_ivyerigx.xlsx]Income - Adjusted!R15C12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5" s="2"/>
      </tp>
      <tp t="s">
        <v>—</v>
        <stp/>
        <stp>##V3_BDHV12</stp>
        <stp>XOM US Equity</stp>
        <stp>IS_FOREIGN_EXCH_LOSS</stp>
        <stp>FQ4 2002</stp>
        <stp>FQ4 2002</stp>
        <stp>[FA1_ivyerigx.xlsx]Income - Adjusted!R15C20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5" s="2"/>
      </tp>
      <tp>
        <v>0</v>
        <stp/>
        <stp>##V3_BDHV12</stp>
        <stp>XOM US Equity</stp>
        <stp>CF_DECR_INVEST</stp>
        <stp>FQ1 2000</stp>
        <stp>FQ1 2000</stp>
        <stp>[FA1_ivyerigx.xlsx]Cash Flow - Standardized!R22C9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2" s="4"/>
      </tp>
      <tp>
        <v>39072</v>
        <stp/>
        <stp>##V3_BDHV12</stp>
        <stp>XOM US Equity</stp>
        <stp>NON_CUR_LIAB</stp>
        <stp>FQ2 2001</stp>
        <stp>FQ2 2001</stp>
        <stp>[FA1_ivyerigx.xlsx]Bal Sheet - Standardized!R39C14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9" s="3"/>
      </tp>
      <tp>
        <v>41872</v>
        <stp/>
        <stp>##V3_BDHV12</stp>
        <stp>XOM US Equity</stp>
        <stp>NON_CUR_LIAB</stp>
        <stp>FQ2 2002</stp>
        <stp>FQ2 2002</stp>
        <stp>[FA1_ivyerigx.xlsx]Bal Sheet - Standardized!R39C18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9" s="3"/>
      </tp>
      <tp>
        <v>1.23</v>
        <stp/>
        <stp>##V3_BDHV12</stp>
        <stp>XOM US Equity</stp>
        <stp>IS_EARN_BEF_XO_ITEMS_PER_SH</stp>
        <stp>FQ1 2005</stp>
        <stp>FQ1 2005</stp>
        <stp>[FA1_ivyerigx.xlsx]Income - Adjusted!R35C29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35" s="2"/>
      </tp>
      <tp>
        <v>1.31</v>
        <stp/>
        <stp>##V3_BDHV12</stp>
        <stp>XOM US Equity</stp>
        <stp>IS_EARN_BEF_XO_ITEMS_PER_SH</stp>
        <stp>FQ4 2004</stp>
        <stp>FQ4 2004</stp>
        <stp>[FA1_ivyerigx.xlsx]Income - Adjusted!R35C28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35" s="2"/>
      </tp>
      <tp>
        <v>49797</v>
        <stp/>
        <stp>##V3_BDHV12</stp>
        <stp>XOM US Equity</stp>
        <stp>NON_CUR_LIAB</stp>
        <stp>FQ1 2005</stp>
        <stp>FQ1 2005</stp>
        <stp>[FA1_ivyerigx.xlsx]Bal Sheet - Standardized!R39C29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9" s="3"/>
      </tp>
      <tp>
        <v>-3875</v>
        <stp/>
        <stp>##V3_BDHV12</stp>
        <stp>XOM US Equity</stp>
        <stp>CFF_ACTIVITIES_DETAILED</stp>
        <stp>FQ3 2003</stp>
        <stp>FQ3 2003</stp>
        <stp>[FA1_ivyerigx.xlsx]Cash Flow - Standardized!R33C23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3" s="4"/>
      </tp>
      <tp>
        <v>5700</v>
        <stp/>
        <stp>##V3_BDHV12</stp>
        <stp>XOM US Equity</stp>
        <stp>BS_CASH_NEAR_CASH_ITEM</stp>
        <stp>FQ2 2002</stp>
        <stp>FQ2 2002</stp>
        <stp>[FA1_ivyerigx.xlsx]Bal Sheet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3"/>
      </tp>
      <tp>
        <v>6937</v>
        <stp/>
        <stp>##V3_BDHV12</stp>
        <stp>XOM US Equity</stp>
        <stp>BS_CASH_NEAR_CASH_ITEM</stp>
        <stp>FQ3 2002</stp>
        <stp>FQ3 2002</stp>
        <stp>[FA1_ivyerigx.xlsx]Bal Sheet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3"/>
      </tp>
      <tp>
        <v>-7855</v>
        <stp/>
        <stp>##V3_BDHV12</stp>
        <stp>XOM US Equity</stp>
        <stp>CFF_ACTIVITIES_DETAILED</stp>
        <stp>FQ2 2006</stp>
        <stp>FQ2 2006</stp>
        <stp>[FA1_ivyerigx.xlsx]Cash Flow - Standardized!R33C34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3" s="4"/>
      </tp>
      <tp>
        <v>-4652</v>
        <stp/>
        <stp>##V3_BDHV12</stp>
        <stp>XOM US Equity</stp>
        <stp>CFF_ACTIVITIES_DETAILED</stp>
        <stp>FQ3 2004</stp>
        <stp>FQ3 2004</stp>
        <stp>[FA1_ivyerigx.xlsx]Cash Flow - Standardized!R33C27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3" s="4"/>
      </tp>
      <tp>
        <v>-6402</v>
        <stp/>
        <stp>##V3_BDHV12</stp>
        <stp>XOM US Equity</stp>
        <stp>CFF_ACTIVITIES_DETAILED</stp>
        <stp>FQ2 2005</stp>
        <stp>FQ2 2005</stp>
        <stp>[FA1_ivyerigx.xlsx]Cash Flow - Standardized!R33C30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3" s="4"/>
      </tp>
      <tp>
        <v>11301</v>
        <stp/>
        <stp>##V3_BDHV12</stp>
        <stp>XOM US Equity</stp>
        <stp>IS_OPERATING_EXPN</stp>
        <stp>FQ1 2002</stp>
        <stp>FQ1 2002</stp>
        <stp>[FA1_ivyerigx.xlsx]Income - Adjusted!R10C17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10" s="2"/>
      </tp>
      <tp>
        <v>3748</v>
        <stp/>
        <stp>##V3_BDHV12</stp>
        <stp>XOM US Equity</stp>
        <stp>IS_OPERATING_EXPN</stp>
        <stp>FQ1 2006</stp>
        <stp>FQ1 2006</stp>
        <stp>[FA1_ivyerigx.xlsx]Income - Adjusted!R10C33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10" s="2"/>
      </tp>
      <tp>
        <v>11538</v>
        <stp/>
        <stp>##V3_BDHV12</stp>
        <stp>XOM US Equity</stp>
        <stp>IS_OPERATING_EXPN</stp>
        <stp>FQ2 2001</stp>
        <stp>FQ2 2001</stp>
        <stp>[FA1_ivyerigx.xlsx]Income - Adjusted!R10C14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10" s="2"/>
      </tp>
      <tp>
        <v>3722</v>
        <stp/>
        <stp>##V3_BDHV12</stp>
        <stp>XOM US Equity</stp>
        <stp>IS_OPERATING_EXPN</stp>
        <stp>FQ2 2005</stp>
        <stp>FQ2 2005</stp>
        <stp>[FA1_ivyerigx.xlsx]Income - Adjusted!R10C30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10" s="2"/>
      </tp>
      <tp>
        <v>5813</v>
        <stp/>
        <stp>##V3_BDHV12</stp>
        <stp>XOM US Equity</stp>
        <stp>BS_CASH_NEAR_CASH_ITEM</stp>
        <stp>FQ2 2000</stp>
        <stp>FQ2 2000</stp>
        <stp>[FA1_ivyerigx.xlsx]Bal Sheet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3"/>
      </tp>
      <tp>
        <v>6644</v>
        <stp/>
        <stp>##V3_BDHV12</stp>
        <stp>XOM US Equity</stp>
        <stp>BS_CASH_NEAR_CASH_ITEM</stp>
        <stp>FQ3 2000</stp>
        <stp>FQ3 2000</stp>
        <stp>[FA1_ivyerigx.xlsx]Bal Sheet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3"/>
      </tp>
      <tp>
        <v>10906</v>
        <stp/>
        <stp>##V3_BDHV12</stp>
        <stp>XOM US Equity</stp>
        <stp>BS_CASH_NEAR_CASH_ITEM</stp>
        <stp>FQ1 2001</stp>
        <stp>FQ1 2001</stp>
        <stp>[FA1_ivyerigx.xlsx]Bal Sheet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3"/>
      </tp>
      <tp>
        <v>6547</v>
        <stp/>
        <stp>##V3_BDHV12</stp>
        <stp>XOM US Equity</stp>
        <stp>BS_CASH_NEAR_CASH_ITEM</stp>
        <stp>FQ4 2001</stp>
        <stp>FQ4 2001</stp>
        <stp>[FA1_ivyerigx.xlsx]Bal Sheet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3"/>
      </tp>
      <tp>
        <v>-9268</v>
        <stp/>
        <stp>##V3_BDHV12</stp>
        <stp>XOM US Equity</stp>
        <stp>CFF_ACTIVITIES_DETAILED</stp>
        <stp>FQ2 2007</stp>
        <stp>FQ2 2007</stp>
        <stp>[FA1_ivyerigx.xlsx]Cash Flow - Standardized!R33C38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3" s="4"/>
      </tp>
      <tp>
        <v>9026</v>
        <stp/>
        <stp>##V3_BDHV12</stp>
        <stp>XOM US Equity</stp>
        <stp>BS_CASH_NEAR_CASH_ITEM</stp>
        <stp>FQ3 2001</stp>
        <stp>FQ3 2001</stp>
        <stp>[FA1_ivyerigx.xlsx]Bal Sheet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3"/>
      </tp>
      <tp>
        <v>9298</v>
        <stp/>
        <stp>##V3_BDHV12</stp>
        <stp>XOM US Equity</stp>
        <stp>BS_CASH_NEAR_CASH_ITEM</stp>
        <stp>FQ2 2001</stp>
        <stp>FQ2 2001</stp>
        <stp>[FA1_ivyerigx.xlsx]Bal Sheet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3"/>
      </tp>
      <tp>
        <v>6622</v>
        <stp/>
        <stp>##V3_BDHV12</stp>
        <stp>XOM US Equity</stp>
        <stp>BS_CASH_NEAR_CASH_ITEM</stp>
        <stp>FQ1 2002</stp>
        <stp>FQ1 2002</stp>
        <stp>[FA1_ivyerigx.xlsx]Bal Sheet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3"/>
      </tp>
      <tp>
        <v>7080</v>
        <stp/>
        <stp>##V3_BDHV12</stp>
        <stp>XOM US Equity</stp>
        <stp>BS_CASH_NEAR_CASH_ITEM</stp>
        <stp>FQ4 2000</stp>
        <stp>FQ4 2000</stp>
        <stp>[FA1_ivyerigx.xlsx]Bal Sheet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3"/>
      </tp>
      <tp>
        <v>1365</v>
        <stp/>
        <stp>##V3_BDHV12</stp>
        <stp>XOM US Equity</stp>
        <stp>CF_INCR_CAP_STOCK</stp>
        <stp>FQ4 2006</stp>
        <stp>FQ4 2006</stp>
        <stp>[FA1_ivyerigx.xlsx]Cash Flow - Standardized!R31C36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1" s="4"/>
      </tp>
      <tp>
        <v>941</v>
        <stp/>
        <stp>##V3_BDHV12</stp>
        <stp>XOM US Equity</stp>
        <stp>CF_INCR_CAP_STOCK</stp>
        <stp>FQ4 2005</stp>
        <stp>FQ4 2005</stp>
        <stp>[FA1_ivyerigx.xlsx]Cash Flow - Standardized!R31C32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1" s="4"/>
      </tp>
      <tp>
        <v>6701</v>
        <stp/>
        <stp>##V3_BDHV12</stp>
        <stp>XOM US Equity</stp>
        <stp>IS_OPER_INC</stp>
        <stp>FQ1 2003</stp>
        <stp>FQ1 2003</stp>
        <stp>[FA1_ivyerigx.xlsx]Income - Adjusted!R12C21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U12" s="2"/>
      </tp>
      <tp>
        <v>7406</v>
        <stp/>
        <stp>##V3_BDHV12</stp>
        <stp>XOM US Equity</stp>
        <stp>IS_OPER_INC</stp>
        <stp>FQ1 2001</stp>
        <stp>FQ1 2001</stp>
        <stp>[FA1_ivyerigx.xlsx]Income - Adjusted!R12C13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M12" s="2"/>
      </tp>
      <tp>
        <v>8199</v>
        <stp/>
        <stp>##V3_BDHV12</stp>
        <stp>XOM US Equity</stp>
        <stp>IS_OPER_INC</stp>
        <stp>FQ2 2004</stp>
        <stp>FQ2 2004</stp>
        <stp>[FA1_ivyerigx.xlsx]Income - Adjusted!R12C26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Z12" s="2"/>
      </tp>
      <tp>
        <v>15554</v>
        <stp/>
        <stp>##V3_BDHV12</stp>
        <stp>XOM US Equity</stp>
        <stp>IS_OPER_INC</stp>
        <stp>FQ2 2006</stp>
        <stp>FQ2 2006</stp>
        <stp>[FA1_ivyerigx.xlsx]Income - Adjusted!R12C34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H12" s="2"/>
      </tp>
      <tp>
        <v>4863</v>
        <stp/>
        <stp>##V3_BDHV12</stp>
        <stp>XOM US Equity</stp>
        <stp>IS_OPER_INC</stp>
        <stp>FQ4 2002</stp>
        <stp>FQ4 2002</stp>
        <stp>[FA1_ivyerigx.xlsx]Income - Adjusted!R12C20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T12" s="2"/>
      </tp>
      <tp>
        <v>7642</v>
        <stp/>
        <stp>##V3_BDHV12</stp>
        <stp>XOM US Equity</stp>
        <stp>IS_OPER_INC</stp>
        <stp>FQ4 2000</stp>
        <stp>FQ4 2000</stp>
        <stp>[FA1_ivyerigx.xlsx]Income - Adjusted!R12C12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L12" s="2"/>
      </tp>
      <tp>
        <v>1112</v>
        <stp/>
        <stp>##V3_BDHV12</stp>
        <stp>XOM US Equity</stp>
        <stp>BS_NUM_OF_TSY_SH</stp>
        <stp>FQ3 1999</stp>
        <stp>FQ3 1999</stp>
        <stp>[FA1_ivyerigx.xlsx]Bal Sheet - Standardized!R54C7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54" s="3"/>
      </tp>
      <tp>
        <v>1112</v>
        <stp/>
        <stp>##V3_BDHV12</stp>
        <stp>XOM US Equity</stp>
        <stp>BS_NUM_OF_TSY_SH</stp>
        <stp>FQ2 1999</stp>
        <stp>FQ2 1999</stp>
        <stp>[FA1_ivyerigx.xlsx]Bal Sheet - Standardized!R54C6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54" s="3"/>
      </tp>
      <tp>
        <v>1112</v>
        <stp/>
        <stp>##V3_BDHV12</stp>
        <stp>XOM US Equity</stp>
        <stp>BS_NUM_OF_TSY_SH</stp>
        <stp>FQ1 1999</stp>
        <stp>FQ1 1999</stp>
        <stp>[FA1_ivyerigx.xlsx]Bal Sheet - Standardized!R54C5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54" s="3"/>
      </tp>
      <tp>
        <v>25.629200000000001</v>
        <stp/>
        <stp>##V3_BDHV12</stp>
        <stp>XOM US Equity</stp>
        <stp>NET_DEBT_TO_SHRHLDR_EQTY</stp>
        <stp>FQ4 1999</stp>
        <stp>FQ4 1999</stp>
        <stp>[FA1_ivyerigx.xlsx]Bal Sheet - Standardized!R61C8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1" s="3"/>
      </tp>
      <tp>
        <v>1662</v>
        <stp/>
        <stp>##V3_BDHV12</stp>
        <stp>XOM US Equity</stp>
        <stp>IS_OPER_INC</stp>
        <stp>FQ3 1998</stp>
        <stp>FQ3 1998</stp>
        <stp>[FA1_ivyerigx.xlsx]Income - Adjusted!R12C3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 t="s">
        <v>—</v>
        <stp/>
        <stp>##V3_BDHV12</stp>
        <stp>XOM US Equity</stp>
        <stp>IS_OPER_INC</stp>
        <stp>FQ4 1998</stp>
        <stp>FQ4 1998</stp>
        <stp>[FA1_ivyerigx.xlsx]Income - Adjusted!R12C4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>
        <v>974</v>
        <stp/>
        <stp>##V3_BDHV12</stp>
        <stp>XOM US Equity</stp>
        <stp>CF_CASH_PAID_FOR_TAX</stp>
        <stp>FQ1 2000</stp>
        <stp>FQ1 2000</stp>
        <stp>[FA1_ivyerigx.xlsx]Cash Flow - Standardized!R38C9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8" s="4"/>
      </tp>
      <tp>
        <v>645</v>
        <stp/>
        <stp>##V3_BDHV12</stp>
        <stp>XOM US Equity</stp>
        <stp>OTHER_INVESTING_ACT_DETAILED</stp>
        <stp>FQ1 2000</stp>
        <stp>FQ1 2000</stp>
        <stp>[FA1_ivyerigx.xlsx]Cash Flow - Standardized!R24C9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4" s="4"/>
      </tp>
      <tp>
        <v>41.5</v>
        <stp/>
        <stp>##V3_BDHV12</stp>
        <stp>XOM US Equity</stp>
        <stp>PX_HIGH</stp>
        <stp>FQ3 1999</stp>
        <stp>FQ3 1999</stp>
        <stp>[FA1_ivyerigx.xlsx]Stock Value!R9C7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9" s="6"/>
      </tp>
      <tp>
        <v>0.46</v>
        <stp/>
        <stp>##V3_BDHV12</stp>
        <stp>XOM US Equity</stp>
        <stp>IS_DIL_EPS_CONT_OPS</stp>
        <stp>FQ3 2001</stp>
        <stp>FQ3 2001</stp>
        <stp>[FA1_ivyerigx.xlsx]Per Share!R19C15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9" s="5"/>
      </tp>
      <tp>
        <v>1.32</v>
        <stp/>
        <stp>##V3_BDHV12</stp>
        <stp>XOM US Equity</stp>
        <stp>IS_DIL_EPS_CONT_OPS</stp>
        <stp>FQ3 2005</stp>
        <stp>FQ3 2005</stp>
        <stp>[FA1_ivyerigx.xlsx]Per Share!R19C31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9" s="5"/>
      </tp>
      <tp>
        <v>513</v>
        <stp/>
        <stp>##V3_BDHV12</stp>
        <stp>XOM US Equity</stp>
        <stp>OTHER_INS_RES_TO_SHRHLDR_EQY</stp>
        <stp>FQ2 2006</stp>
        <stp>FQ2 2006</stp>
        <stp>[FA1_ivyerigx.xlsx]Bal Sheet - Standardized!R45C34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5" s="3"/>
      </tp>
      <tp>
        <v>548</v>
        <stp/>
        <stp>##V3_BDHV12</stp>
        <stp>XOM US Equity</stp>
        <stp>OTHER_INS_RES_TO_SHRHLDR_EQY</stp>
        <stp>FQ3 2006</stp>
        <stp>FQ3 2006</stp>
        <stp>[FA1_ivyerigx.xlsx]Bal Sheet - Standardized!R45C35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5" s="3"/>
      </tp>
      <tp>
        <v>-1296</v>
        <stp/>
        <stp>##V3_BDHV12</stp>
        <stp>XOM US Equity</stp>
        <stp>OTHER_INS_RES_TO_SHRHLDR_EQY</stp>
        <stp>FQ3 2004</stp>
        <stp>FQ3 2004</stp>
        <stp>[FA1_ivyerigx.xlsx]Bal Sheet - Standardized!R45C27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5" s="3"/>
      </tp>
      <tp>
        <v>-1982</v>
        <stp/>
        <stp>##V3_BDHV12</stp>
        <stp>XOM US Equity</stp>
        <stp>OTHER_INS_RES_TO_SHRHLDR_EQY</stp>
        <stp>FQ2 2004</stp>
        <stp>FQ2 2004</stp>
        <stp>[FA1_ivyerigx.xlsx]Bal Sheet - Standardized!R45C26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5" s="3"/>
      </tp>
      <tp>
        <v>-1490</v>
        <stp/>
        <stp>##V3_BDHV12</stp>
        <stp>XOM US Equity</stp>
        <stp>OTHER_INS_RES_TO_SHRHLDR_EQY</stp>
        <stp>FQ1 2004</stp>
        <stp>FQ1 2004</stp>
        <stp>[FA1_ivyerigx.xlsx]Bal Sheet - Standardized!R45C25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5" s="3"/>
      </tp>
      <tp>
        <v>0.56999999999999995</v>
        <stp/>
        <stp>##V3_BDHV12</stp>
        <stp>XOM US Equity</stp>
        <stp>IS_DIL_EPS_BEF_XO</stp>
        <stp>FQ3 2000</stp>
        <stp>FQ3 2000</stp>
        <stp>[FA1_ivyerigx.xlsx]Income - Adjusted!R40C11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0" s="2"/>
      </tp>
      <tp>
        <v>0.62</v>
        <stp/>
        <stp>##V3_BDHV12</stp>
        <stp>XOM US Equity</stp>
        <stp>IS_DIL_EPS_BEF_XO</stp>
        <stp>FQ2 2003</stp>
        <stp>FQ2 2003</stp>
        <stp>[FA1_ivyerigx.xlsx]Income - Adjusted!R40C22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0" s="2"/>
      </tp>
      <tp>
        <v>0.83</v>
        <stp/>
        <stp>##V3_BDHV12</stp>
        <stp>XOM US Equity</stp>
        <stp>IS_DIL_EPS_BEF_XO</stp>
        <stp>FQ1 2004</stp>
        <stp>FQ1 2004</stp>
        <stp>[FA1_ivyerigx.xlsx]Income - Adjusted!R40C25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0" s="2"/>
      </tp>
      <tp>
        <v>4856</v>
        <stp/>
        <stp>##V3_BDHV12</stp>
        <stp>XOM US Equity</stp>
        <stp>IS_AVG_NUM_SH_FOR_EPS</stp>
        <stp>FQ1 1999</stp>
        <stp>FQ1 1999</stp>
        <stp>[FA1_ivyerigx.xlsx]Per Share!R8C5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5"/>
      </tp>
      <tp>
        <v>4856</v>
        <stp/>
        <stp>##V3_BDHV12</stp>
        <stp>XOM US Equity</stp>
        <stp>IS_AVG_NUM_SH_FOR_EPS</stp>
        <stp>FQ2 1999</stp>
        <stp>FQ2 1999</stp>
        <stp>[FA1_ivyerigx.xlsx]Per Share!R8C6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5"/>
      </tp>
      <tp>
        <v>201252</v>
        <stp/>
        <stp>##V3_BDHV12</stp>
        <stp>XOM US Equity</stp>
        <stp>BS_TOT_ASSET</stp>
        <stp>FQ1 2005</stp>
        <stp>FQ1 2005</stp>
        <stp>[FA1_ivyerigx.xlsx]Bal Sheet - Standardized!R27C29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7" s="3"/>
      </tp>
      <tp>
        <v>4856</v>
        <stp/>
        <stp>##V3_BDHV12</stp>
        <stp>XOM US Equity</stp>
        <stp>IS_AVG_NUM_SH_FOR_EPS</stp>
        <stp>FQ3 1999</stp>
        <stp>FQ3 1999</stp>
        <stp>[FA1_ivyerigx.xlsx]Per Share!R8C7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5"/>
      </tp>
      <tp>
        <v>148232</v>
        <stp/>
        <stp>##V3_BDHV12</stp>
        <stp>XOM US Equity</stp>
        <stp>BS_TOT_ASSET</stp>
        <stp>FQ2 2002</stp>
        <stp>FQ2 2002</stp>
        <stp>[FA1_ivyerigx.xlsx]Bal Sheet - Standardized!R27C18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7" s="3"/>
      </tp>
      <tp>
        <v>147660</v>
        <stp/>
        <stp>##V3_BDHV12</stp>
        <stp>XOM US Equity</stp>
        <stp>BS_TOT_ASSET</stp>
        <stp>FQ2 2001</stp>
        <stp>FQ2 2001</stp>
        <stp>[FA1_ivyerigx.xlsx]Bal Sheet - Standardized!R27C14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7" s="3"/>
      </tp>
      <tp>
        <v>146618</v>
        <stp/>
        <stp>##V3_BDHV12</stp>
        <stp>XOM US Equity</stp>
        <stp>BS_TOT_ASSET</stp>
        <stp>FQ2 2000</stp>
        <stp>FQ2 2000</stp>
        <stp>[FA1_ivyerigx.xlsx]Bal Sheet - Standardized!R27C10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7" s="3"/>
      </tp>
      <tp>
        <v>162495</v>
        <stp/>
        <stp>##V3_BDHV12</stp>
        <stp>XOM US Equity</stp>
        <stp>BS_TOT_ASSET</stp>
        <stp>FQ1 2003</stp>
        <stp>FQ1 2003</stp>
        <stp>[FA1_ivyerigx.xlsx]Bal Sheet - Standardized!R27C21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7" s="3"/>
      </tp>
      <tp>
        <v>13143</v>
        <stp/>
        <stp>##V3_BDHV12</stp>
        <stp>XOM US Equity</stp>
        <stp>EBIT</stp>
        <stp>FQ1 2006</stp>
        <stp>FQ1 2006</stp>
        <stp>[FA1_ivyerigx.xlsx]Income - Adjusted!R48C33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G48" s="2"/>
      </tp>
      <tp>
        <v>2735</v>
        <stp/>
        <stp>##V3_BDHV12</stp>
        <stp>XOM US Equity</stp>
        <stp>EBIT</stp>
        <stp>FQ1 2002</stp>
        <stp>FQ1 2002</stp>
        <stp>[FA1_ivyerigx.xlsx]Income - Adjusted!R48C17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Q48" s="2"/>
      </tp>
      <tp>
        <v>11256</v>
        <stp/>
        <stp>##V3_BDHV12</stp>
        <stp>XOM US Equity</stp>
        <stp>EBIT</stp>
        <stp>FQ2 2005</stp>
        <stp>FQ2 2005</stp>
        <stp>[FA1_ivyerigx.xlsx]Income - Adjusted!R48C30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D48" s="2"/>
      </tp>
      <tp>
        <v>6109</v>
        <stp/>
        <stp>##V3_BDHV12</stp>
        <stp>XOM US Equity</stp>
        <stp>EBIT</stp>
        <stp>FQ2 2001</stp>
        <stp>FQ2 2001</stp>
        <stp>[FA1_ivyerigx.xlsx]Income - Adjusted!R48C14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N48" s="2"/>
      </tp>
      <tp>
        <v>180202</v>
        <stp/>
        <stp>##V3_BDHV12</stp>
        <stp>XOM US Equity</stp>
        <stp>BS_TOT_ASSET</stp>
        <stp>FQ1 2004</stp>
        <stp>FQ1 2004</stp>
        <stp>[FA1_ivyerigx.xlsx]Bal Sheet - Standardized!R27C25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7" s="3"/>
      </tp>
      <tp>
        <v>46206</v>
        <stp/>
        <stp>##V3_BDHV12</stp>
        <stp>XOM US Equity</stp>
        <stp>NON_CUR_LIAB</stp>
        <stp>FQ2 2004</stp>
        <stp>FQ2 2004</stp>
        <stp>[FA1_ivyerigx.xlsx]Bal Sheet - Standardized!R39C26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9" s="3"/>
      </tp>
      <tp>
        <v>52550</v>
        <stp/>
        <stp>##V3_BDHV12</stp>
        <stp>XOM US Equity</stp>
        <stp>NON_CUR_LIAB</stp>
        <stp>FQ3 2006</stp>
        <stp>FQ3 2006</stp>
        <stp>[FA1_ivyerigx.xlsx]Bal Sheet - Standardized!R39C35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9" s="3"/>
      </tp>
      <tp>
        <v>57726</v>
        <stp/>
        <stp>##V3_BDHV12</stp>
        <stp>XOM US Equity</stp>
        <stp>NON_CUR_LIAB</stp>
        <stp>FQ4 2007</stp>
        <stp>FQ4 2007</stp>
        <stp>[FA1_ivyerigx.xlsx]Bal Sheet - Standardized!R39C40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9" s="3"/>
      </tp>
      <tp>
        <v>39536</v>
        <stp/>
        <stp>##V3_BDHV12</stp>
        <stp>XOM US Equity</stp>
        <stp>NON_CUR_LIAB</stp>
        <stp>FQ1 2001</stp>
        <stp>FQ1 2001</stp>
        <stp>[FA1_ivyerigx.xlsx]Bal Sheet - Standardized!R39C13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9" s="3"/>
      </tp>
      <tp>
        <v>45874</v>
        <stp/>
        <stp>##V3_BDHV12</stp>
        <stp>XOM US Equity</stp>
        <stp>NON_CUR_LIAB</stp>
        <stp>FQ2 2003</stp>
        <stp>FQ2 2003</stp>
        <stp>[FA1_ivyerigx.xlsx]Bal Sheet - Standardized!R39C22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9" s="3"/>
      </tp>
      <tp t="s">
        <v>—</v>
        <stp/>
        <stp>##V3_BDHV12</stp>
        <stp>XOM US Equity</stp>
        <stp>IS_FOREIGN_EXCH_LOSS</stp>
        <stp>FQ3 2000</stp>
        <stp>FQ3 2000</stp>
        <stp>[FA1_ivyerigx.xlsx]Income - Adjusted!R15C11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K15" s="2"/>
      </tp>
      <tp t="s">
        <v>—</v>
        <stp/>
        <stp>##V3_BDHV12</stp>
        <stp>XOM US Equity</stp>
        <stp>IS_FOREIGN_EXCH_LOSS</stp>
        <stp>FQ2 2003</stp>
        <stp>FQ2 2003</stp>
        <stp>[FA1_ivyerigx.xlsx]Income - Adjusted!R15C22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V15" s="2"/>
      </tp>
      <tp t="s">
        <v>—</v>
        <stp/>
        <stp>##V3_BDHV12</stp>
        <stp>XOM US Equity</stp>
        <stp>IS_FOREIGN_EXCH_LOSS</stp>
        <stp>FQ1 2004</stp>
        <stp>FQ1 2004</stp>
        <stp>[FA1_ivyerigx.xlsx]Income - Adjusted!R15C25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Y15" s="2"/>
      </tp>
      <tp>
        <v>39492</v>
        <stp/>
        <stp>##V3_BDHV12</stp>
        <stp>XOM US Equity</stp>
        <stp>NON_CUR_LIAB</stp>
        <stp>FQ1 2002</stp>
        <stp>FQ1 2002</stp>
        <stp>[FA1_ivyerigx.xlsx]Bal Sheet - Standardized!R39C17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9" s="3"/>
      </tp>
      <tp>
        <v>50956</v>
        <stp/>
        <stp>##V3_BDHV12</stp>
        <stp>XOM US Equity</stp>
        <stp>NON_CUR_LIAB</stp>
        <stp>FQ3 2005</stp>
        <stp>FQ3 2005</stp>
        <stp>[FA1_ivyerigx.xlsx]Bal Sheet - Standardized!R39C31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9" s="3"/>
      </tp>
      <tp>
        <v>1.85</v>
        <stp/>
        <stp>##V3_BDHV12</stp>
        <stp>XOM US Equity</stp>
        <stp>IS_EARN_BEF_XO_ITEMS_PER_SH</stp>
        <stp>FQ2 2007</stp>
        <stp>FQ2 2007</stp>
        <stp>[FA1_ivyerigx.xlsx]Income - Adjusted!R35C38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35" s="2"/>
      </tp>
      <tp>
        <v>62138</v>
        <stp/>
        <stp>##V3_BDHV12</stp>
        <stp>XOM US Equity</stp>
        <stp>NON_CUR_LIAB</stp>
        <stp>FQ3 2007</stp>
        <stp>FQ3 2007</stp>
        <stp>[FA1_ivyerigx.xlsx]Bal Sheet - Standardized!R39C39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9" s="3"/>
      </tp>
      <tp>
        <v>25165</v>
        <stp/>
        <stp>##V3_BDHV12</stp>
        <stp>XOM US Equity</stp>
        <stp>BS_CASH_NEAR_CASH_ITEM</stp>
        <stp>FQ1 2005</stp>
        <stp>FQ1 2005</stp>
        <stp>[FA1_ivyerigx.xlsx]Bal Sheet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3"/>
      </tp>
      <tp>
        <v>-2767</v>
        <stp/>
        <stp>##V3_BDHV12</stp>
        <stp>XOM US Equity</stp>
        <stp>CFF_ACTIVITIES_DETAILED</stp>
        <stp>FQ3 2000</stp>
        <stp>FQ3 2000</stp>
        <stp>[FA1_ivyerigx.xlsx]Cash Flow - Standardized!R33C11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3" s="4"/>
      </tp>
      <tp>
        <v>-9298</v>
        <stp/>
        <stp>##V3_BDHV12</stp>
        <stp>XOM US Equity</stp>
        <stp>CFF_ACTIVITIES_DETAILED</stp>
        <stp>FQ1 2007</stp>
        <stp>FQ1 2007</stp>
        <stp>[FA1_ivyerigx.xlsx]Cash Flow - Standardized!R33C37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3" s="4"/>
      </tp>
      <tp>
        <v>-2896</v>
        <stp/>
        <stp>##V3_BDHV12</stp>
        <stp>XOM US Equity</stp>
        <stp>CFF_ACTIVITIES_DETAILED</stp>
        <stp>FQ3 2001</stp>
        <stp>FQ3 2001</stp>
        <stp>[FA1_ivyerigx.xlsx]Cash Flow - Standardized!R33C15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3" s="4"/>
      </tp>
      <tp>
        <v>18531</v>
        <stp/>
        <stp>##V3_BDHV12</stp>
        <stp>XOM US Equity</stp>
        <stp>BS_CASH_NEAR_CASH_ITEM</stp>
        <stp>FQ4 2004</stp>
        <stp>FQ4 2004</stp>
        <stp>[FA1_ivyerigx.xlsx]Bal Sheet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3"/>
      </tp>
      <tp>
        <v>-7854</v>
        <stp/>
        <stp>##V3_BDHV12</stp>
        <stp>XOM US Equity</stp>
        <stp>CFF_ACTIVITIES_DETAILED</stp>
        <stp>FQ1 2006</stp>
        <stp>FQ1 2006</stp>
        <stp>[FA1_ivyerigx.xlsx]Cash Flow - Standardized!R33C33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3" s="4"/>
      </tp>
      <tp>
        <v>12328</v>
        <stp/>
        <stp>##V3_BDHV12</stp>
        <stp>XOM US Equity</stp>
        <stp>BS_CASH_NEAR_CASH_ITEM</stp>
        <stp>FQ1 2003</stp>
        <stp>FQ1 2003</stp>
        <stp>[FA1_ivyerigx.xlsx]Bal Sheet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3"/>
      </tp>
      <tp>
        <v>11015</v>
        <stp/>
        <stp>##V3_BDHV12</stp>
        <stp>XOM US Equity</stp>
        <stp>BS_CASH_NEAR_CASH_ITEM</stp>
        <stp>FQ3 2003</stp>
        <stp>FQ3 2003</stp>
        <stp>[FA1_ivyerigx.xlsx]Bal Sheet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3"/>
      </tp>
      <tp>
        <v>12521</v>
        <stp/>
        <stp>##V3_BDHV12</stp>
        <stp>XOM US Equity</stp>
        <stp>BS_CASH_NEAR_CASH_ITEM</stp>
        <stp>FQ2 2003</stp>
        <stp>FQ2 2003</stp>
        <stp>[FA1_ivyerigx.xlsx]Bal Sheet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3"/>
      </tp>
      <tp>
        <v>10626</v>
        <stp/>
        <stp>##V3_BDHV12</stp>
        <stp>XOM US Equity</stp>
        <stp>BS_CASH_NEAR_CASH_ITEM</stp>
        <stp>FQ4 2003</stp>
        <stp>FQ4 2003</stp>
        <stp>[FA1_ivyerigx.xlsx]Bal Sheet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3"/>
      </tp>
      <tp>
        <v>-3057</v>
        <stp/>
        <stp>##V3_BDHV12</stp>
        <stp>XOM US Equity</stp>
        <stp>CFF_ACTIVITIES_DETAILED</stp>
        <stp>FQ3 2002</stp>
        <stp>FQ3 2002</stp>
        <stp>[FA1_ivyerigx.xlsx]Cash Flow - Standardized!R33C19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3" s="4"/>
      </tp>
      <tp>
        <v>7229</v>
        <stp/>
        <stp>##V3_BDHV12</stp>
        <stp>XOM US Equity</stp>
        <stp>BS_CASH_NEAR_CASH_ITEM</stp>
        <stp>FQ4 2002</stp>
        <stp>FQ4 2002</stp>
        <stp>[FA1_ivyerigx.xlsx]Bal Sheet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3"/>
      </tp>
      <tp>
        <v>14177</v>
        <stp/>
        <stp>##V3_BDHV12</stp>
        <stp>XOM US Equity</stp>
        <stp>BS_CASH_NEAR_CASH_ITEM</stp>
        <stp>FQ2 2004</stp>
        <stp>FQ2 2004</stp>
        <stp>[FA1_ivyerigx.xlsx]Bal Sheet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3"/>
      </tp>
      <tp>
        <v>16108</v>
        <stp/>
        <stp>##V3_BDHV12</stp>
        <stp>XOM US Equity</stp>
        <stp>BS_CASH_NEAR_CASH_ITEM</stp>
        <stp>FQ3 2004</stp>
        <stp>FQ3 2004</stp>
        <stp>[FA1_ivyerigx.xlsx]Bal Sheet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3"/>
      </tp>
      <tp>
        <v>15894</v>
        <stp/>
        <stp>##V3_BDHV12</stp>
        <stp>XOM US Equity</stp>
        <stp>BS_CASH_NEAR_CASH_ITEM</stp>
        <stp>FQ1 2004</stp>
        <stp>FQ1 2004</stp>
        <stp>[FA1_ivyerigx.xlsx]Bal Sheet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3"/>
      </tp>
      <tp>
        <v>299</v>
        <stp/>
        <stp>##V3_BDHV12</stp>
        <stp>XOM US Equity</stp>
        <stp>CF_INCR_CAP_STOCK</stp>
        <stp>FQ4 2002</stp>
        <stp>FQ4 2002</stp>
        <stp>[FA1_ivyerigx.xlsx]Cash Flow - Standardized!R31C20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1" s="4"/>
      </tp>
      <tp>
        <v>434</v>
        <stp/>
        <stp>##V3_BDHV12</stp>
        <stp>XOM US Equity</stp>
        <stp>CF_INCR_CAP_STOCK</stp>
        <stp>FQ4 2003</stp>
        <stp>FQ4 2003</stp>
        <stp>[FA1_ivyerigx.xlsx]Cash Flow - Standardized!R31C24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1" s="4"/>
      </tp>
      <tp>
        <v>-5108</v>
        <stp/>
        <stp>##V3_BDHV12</stp>
        <stp>XOM US Equity</stp>
        <stp>CFF_ACTIVITIES_DETAILED</stp>
        <stp>FQ1 2000</stp>
        <stp>FQ1 2000</stp>
        <stp>[FA1_ivyerigx.xlsx]Cash Flow - Standardized!R33C9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3" s="4"/>
      </tp>
      <tp>
        <v>8671</v>
        <stp/>
        <stp>##V3_BDHV12</stp>
        <stp>XOM US Equity</stp>
        <stp>IS_OPER_INC</stp>
        <stp>FQ3 2004</stp>
        <stp>FQ3 2004</stp>
        <stp>[FA1_ivyerigx.xlsx]Income - Adjusted!R12C27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A12" s="2"/>
      </tp>
      <tp>
        <v>15426</v>
        <stp/>
        <stp>##V3_BDHV12</stp>
        <stp>XOM US Equity</stp>
        <stp>IS_OPER_INC</stp>
        <stp>FQ3 2006</stp>
        <stp>FQ3 2006</stp>
        <stp>[FA1_ivyerigx.xlsx]Income - Adjusted!R12C35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I12" s="2"/>
      </tp>
      <tp>
        <v>960</v>
        <stp/>
        <stp>##V3_BDHV12</stp>
        <stp>XOM US Equity</stp>
        <stp>CF_INCR_CAP_STOCK</stp>
        <stp>FQ4 2004</stp>
        <stp>FQ4 2004</stp>
        <stp>[FA1_ivyerigx.xlsx]Cash Flow - Standardized!R31C28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1" s="4"/>
      </tp>
      <tp>
        <v>457</v>
        <stp/>
        <stp>##V3_BDHV12</stp>
        <stp>XOM US Equity</stp>
        <stp>CF_INCR_CAP_STOCK</stp>
        <stp>FQ2 2008</stp>
        <stp>FQ2 2008</stp>
        <stp>[FA1_ivyerigx.xlsx]Cash Flow - Standardized!R31C42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1" s="4"/>
      </tp>
      <tp>
        <v>43.625</v>
        <stp/>
        <stp>##V3_BDHV12</stp>
        <stp>XOM US Equity</stp>
        <stp>PX_HIGH</stp>
        <stp>FQ2 1999</stp>
        <stp>FQ2 1999</stp>
        <stp>[FA1_ivyerigx.xlsx]Stock Value!R9C6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9" s="6"/>
      </tp>
      <tp>
        <v>1530</v>
        <stp/>
        <stp>##V3_BDHV12</stp>
        <stp>XOM US Equity</stp>
        <stp>NI_INCLUDING_MINORITY_INT_RATIO</stp>
        <stp>FQ3 1999</stp>
        <stp>FQ3 1999</stp>
        <stp>[FA1_ivyerigx.xlsx]Income - Adjusted!R22C7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2" s="2"/>
      </tp>
      <tp>
        <v>1211</v>
        <stp/>
        <stp>##V3_BDHV12</stp>
        <stp>XOM US Equity</stp>
        <stp>NI_INCLUDING_MINORITY_INT_RATIO</stp>
        <stp>FQ2 1999</stp>
        <stp>FQ2 1999</stp>
        <stp>[FA1_ivyerigx.xlsx]Income - Adjusted!R22C6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2" s="2"/>
      </tp>
      <tp>
        <v>953</v>
        <stp/>
        <stp>##V3_BDHV12</stp>
        <stp>XOM US Equity</stp>
        <stp>NI_INCLUDING_MINORITY_INT_RATIO</stp>
        <stp>FQ1 1999</stp>
        <stp>FQ1 1999</stp>
        <stp>[FA1_ivyerigx.xlsx]Income - Adjusted!R22C5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2" s="2"/>
      </tp>
      <tp>
        <v>0.63</v>
        <stp/>
        <stp>##V3_BDHV12</stp>
        <stp>XOM US Equity</stp>
        <stp>IS_DIL_EPS_CONT_OPS</stp>
        <stp>FQ2 2001</stp>
        <stp>FQ2 2001</stp>
        <stp>[FA1_ivyerigx.xlsx]Per Share!R19C14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9" s="5"/>
      </tp>
      <tp>
        <v>1.23</v>
        <stp/>
        <stp>##V3_BDHV12</stp>
        <stp>XOM US Equity</stp>
        <stp>IS_DIL_EPS_CONT_OPS</stp>
        <stp>FQ2 2005</stp>
        <stp>FQ2 2005</stp>
        <stp>[FA1_ivyerigx.xlsx]Per Share!R19C30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9" s="5"/>
      </tp>
      <tp>
        <v>0.31</v>
        <stp/>
        <stp>##V3_BDHV12</stp>
        <stp>XOM US Equity</stp>
        <stp>IS_DIL_EPS_CONT_OPS</stp>
        <stp>FQ1 2002</stp>
        <stp>FQ1 2002</stp>
        <stp>[FA1_ivyerigx.xlsx]Per Share!R19C17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9" s="5"/>
      </tp>
      <tp>
        <v>1.37</v>
        <stp/>
        <stp>##V3_BDHV12</stp>
        <stp>XOM US Equity</stp>
        <stp>IS_DIL_EPS_CONT_OPS</stp>
        <stp>FQ1 2006</stp>
        <stp>FQ1 2006</stp>
        <stp>[FA1_ivyerigx.xlsx]Per Share!R19C33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9" s="5"/>
      </tp>
      <tp>
        <v>-2546</v>
        <stp/>
        <stp>##V3_BDHV12</stp>
        <stp>XOM US Equity</stp>
        <stp>OTHER_INS_RES_TO_SHRHLDR_EQY</stp>
        <stp>FQ1 2007</stp>
        <stp>FQ1 2007</stp>
        <stp>[FA1_ivyerigx.xlsx]Bal Sheet - Standardized!R45C37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5" s="3"/>
      </tp>
      <tp>
        <v>1.76</v>
        <stp/>
        <stp>##V3_BDHV12</stp>
        <stp>XOM US Equity</stp>
        <stp>IS_DIL_EPS_BEF_XO</stp>
        <stp>FQ4 2006</stp>
        <stp>FQ4 2006</stp>
        <stp>[FA1_ivyerigx.xlsx]Income - Adjusted!R40C36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0" s="2"/>
      </tp>
      <tp>
        <v>0.55000000000000004</v>
        <stp/>
        <stp>##V3_BDHV12</stp>
        <stp>XOM US Equity</stp>
        <stp>IS_DIL_EPS_BEF_XO</stp>
        <stp>FQ3 2003</stp>
        <stp>FQ3 2003</stp>
        <stp>[FA1_ivyerigx.xlsx]Income - Adjusted!R40C23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0" s="2"/>
      </tp>
      <tp>
        <v>0.56999999999999995</v>
        <stp/>
        <stp>##V3_BDHV12</stp>
        <stp>XOM US Equity</stp>
        <stp>IS_DIL_EPS_BEF_XO</stp>
        <stp>FQ2 2000</stp>
        <stp>FQ2 2000</stp>
        <stp>[FA1_ivyerigx.xlsx]Income - Adjusted!R40C10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0" s="2"/>
      </tp>
      <tp>
        <v>1.62</v>
        <stp/>
        <stp>##V3_BDHV12</stp>
        <stp>XOM US Equity</stp>
        <stp>IS_DIL_EPS_BEF_XO</stp>
        <stp>FQ1 2007</stp>
        <stp>FQ1 2007</stp>
        <stp>[FA1_ivyerigx.xlsx]Income - Adjusted!R40C37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0" s="2"/>
      </tp>
      <tp>
        <v>6</v>
        <stp/>
        <stp>##V3_BDHV12</stp>
        <stp>XOM US Equity</stp>
        <stp>MIN_NONCONTROL_INTEREST_CREDITS</stp>
        <stp>FQ2 1999</stp>
        <stp>FQ2 1999</stp>
        <stp>[FA1_ivyerigx.xlsx]Income - Adjusted!R23C6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3" s="2"/>
      </tp>
      <tp>
        <v>30</v>
        <stp/>
        <stp>##V3_BDHV12</stp>
        <stp>XOM US Equity</stp>
        <stp>MIN_NONCONTROL_INTEREST_CREDITS</stp>
        <stp>FQ3 1999</stp>
        <stp>FQ3 1999</stp>
        <stp>[FA1_ivyerigx.xlsx]Income - Adjusted!R23C7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3" s="2"/>
      </tp>
      <tp>
        <v>-67</v>
        <stp/>
        <stp>##V3_BDHV12</stp>
        <stp>XOM US Equity</stp>
        <stp>MIN_NONCONTROL_INTEREST_CREDITS</stp>
        <stp>FQ1 1999</stp>
        <stp>FQ1 1999</stp>
        <stp>[FA1_ivyerigx.xlsx]Income - Adjusted!R23C5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3" s="2"/>
      </tp>
      <tp>
        <v>149473</v>
        <stp/>
        <stp>##V3_BDHV12</stp>
        <stp>XOM US Equity</stp>
        <stp>BS_TOT_ASSET</stp>
        <stp>FQ3 2002</stp>
        <stp>FQ3 2002</stp>
        <stp>[FA1_ivyerigx.xlsx]Bal Sheet - Standardized!R27C19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7" s="3"/>
      </tp>
      <tp>
        <v>147904</v>
        <stp/>
        <stp>##V3_BDHV12</stp>
        <stp>XOM US Equity</stp>
        <stp>BS_TOT_ASSET</stp>
        <stp>FQ3 2001</stp>
        <stp>FQ3 2001</stp>
        <stp>[FA1_ivyerigx.xlsx]Bal Sheet - Standardized!R27C15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7" s="3"/>
      </tp>
      <tp>
        <v>216002</v>
        <stp/>
        <stp>##V3_BDHV12</stp>
        <stp>XOM US Equity</stp>
        <stp>BS_TOT_ASSET</stp>
        <stp>FQ1 2006</stp>
        <stp>FQ1 2006</stp>
        <stp>[FA1_ivyerigx.xlsx]Bal Sheet - Standardized!R27C33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7" s="3"/>
      </tp>
      <tp>
        <v>148252</v>
        <stp/>
        <stp>##V3_BDHV12</stp>
        <stp>XOM US Equity</stp>
        <stp>BS_TOT_ASSET</stp>
        <stp>FQ3 2000</stp>
        <stp>FQ3 2000</stp>
        <stp>[FA1_ivyerigx.xlsx]Bal Sheet - Standardized!R27C11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7" s="3"/>
      </tp>
      <tp>
        <v>12313</v>
        <stp/>
        <stp>##V3_BDHV12</stp>
        <stp>XOM US Equity</stp>
        <stp>EBIT</stp>
        <stp>FQ3 2005</stp>
        <stp>FQ3 2005</stp>
        <stp>[FA1_ivyerigx.xlsx]Income - Adjusted!R48C31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E48" s="2"/>
      </tp>
      <tp>
        <v>4605</v>
        <stp/>
        <stp>##V3_BDHV12</stp>
        <stp>XOM US Equity</stp>
        <stp>EBIT</stp>
        <stp>FQ3 2001</stp>
        <stp>FQ3 2001</stp>
        <stp>[FA1_ivyerigx.xlsx]Income - Adjusted!R48C15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O48" s="2"/>
      </tp>
      <tp>
        <v>223299</v>
        <stp/>
        <stp>##V3_BDHV12</stp>
        <stp>XOM US Equity</stp>
        <stp>BS_TOT_ASSET</stp>
        <stp>FQ1 2007</stp>
        <stp>FQ1 2007</stp>
        <stp>[FA1_ivyerigx.xlsx]Bal Sheet - Standardized!R27C37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7" s="3"/>
      </tp>
      <tp>
        <v>47796</v>
        <stp/>
        <stp>##V3_BDHV12</stp>
        <stp>XOM US Equity</stp>
        <stp>NON_CUR_LIAB</stp>
        <stp>FQ3 2004</stp>
        <stp>FQ3 2004</stp>
        <stp>[FA1_ivyerigx.xlsx]Bal Sheet - Standardized!R39C27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9" s="3"/>
      </tp>
      <tp>
        <v>53692</v>
        <stp/>
        <stp>##V3_BDHV12</stp>
        <stp>XOM US Equity</stp>
        <stp>NON_CUR_LIAB</stp>
        <stp>FQ2 2006</stp>
        <stp>FQ2 2006</stp>
        <stp>[FA1_ivyerigx.xlsx]Bal Sheet - Standardized!R39C34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9" s="3"/>
      </tp>
      <tp>
        <v>44582</v>
        <stp/>
        <stp>##V3_BDHV12</stp>
        <stp>XOM US Equity</stp>
        <stp>NON_CUR_LIAB</stp>
        <stp>FQ3 2003</stp>
        <stp>FQ3 2003</stp>
        <stp>[FA1_ivyerigx.xlsx]Bal Sheet - Standardized!R39C23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9" s="3"/>
      </tp>
      <tp t="s">
        <v>—</v>
        <stp/>
        <stp>##V3_BDHV12</stp>
        <stp>XOM US Equity</stp>
        <stp>IS_FOREIGN_EXCH_LOSS</stp>
        <stp>FQ3 2003</stp>
        <stp>FQ3 2003</stp>
        <stp>[FA1_ivyerigx.xlsx]Income - Adjusted!R15C23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W15" s="2"/>
      </tp>
      <tp t="s">
        <v>—</v>
        <stp/>
        <stp>##V3_BDHV12</stp>
        <stp>XOM US Equity</stp>
        <stp>IS_FOREIGN_EXCH_LOSS</stp>
        <stp>FQ2 2000</stp>
        <stp>FQ2 2000</stp>
        <stp>[FA1_ivyerigx.xlsx]Income - Adjusted!R15C10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J15" s="2"/>
      </tp>
      <tp>
        <v>0</v>
        <stp/>
        <stp>##V3_BDHV12</stp>
        <stp>XOM US Equity</stp>
        <stp>IS_FOREIGN_EXCH_LOSS</stp>
        <stp>FQ1 2007</stp>
        <stp>FQ1 2007</stp>
        <stp>[FA1_ivyerigx.xlsx]Income - Adjusted!R15C37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K15" s="2"/>
      </tp>
      <tp>
        <v>0</v>
        <stp/>
        <stp>##V3_BDHV12</stp>
        <stp>XOM US Equity</stp>
        <stp>IS_FOREIGN_EXCH_LOSS</stp>
        <stp>FQ4 2006</stp>
        <stp>FQ4 2006</stp>
        <stp>[FA1_ivyerigx.xlsx]Income - Adjusted!R15C36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J15" s="2"/>
      </tp>
      <tp>
        <v>1379</v>
        <stp/>
        <stp>##V3_BDHV12</stp>
        <stp>XOM US Equity</stp>
        <stp>PROC_FR_REPAYMNTS_BOR_DETAILED</stp>
        <stp>FQ4 1999</stp>
        <stp>FQ4 1999</stp>
        <stp>[FA1_ivyerigx.xlsx]Cash Flow - Standardized!R29C8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9" s="4"/>
      </tp>
      <tp>
        <v>50591</v>
        <stp/>
        <stp>##V3_BDHV12</stp>
        <stp>XOM US Equity</stp>
        <stp>NON_CUR_LIAB</stp>
        <stp>FQ2 2005</stp>
        <stp>FQ2 2005</stp>
        <stp>[FA1_ivyerigx.xlsx]Bal Sheet - Standardized!R39C30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9" s="3"/>
      </tp>
      <tp>
        <v>1.72</v>
        <stp/>
        <stp>##V3_BDHV12</stp>
        <stp>XOM US Equity</stp>
        <stp>IS_EARN_BEF_XO_ITEMS_PER_SH</stp>
        <stp>FQ3 2007</stp>
        <stp>FQ3 2007</stp>
        <stp>[FA1_ivyerigx.xlsx]Income - Adjusted!R35C39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35" s="2"/>
      </tp>
      <tp>
        <v>2571</v>
        <stp/>
        <stp>##V3_BDHV12</stp>
        <stp>XOM US Equity</stp>
        <stp>PROC_FR_REPAYMNTS_BOR_DETAILED</stp>
        <stp>FQ4 1998</stp>
        <stp>FQ4 1998</stp>
        <stp>[FA1_ivyerigx.xlsx]Cash Flow - Standardized!R29C4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9" s="4"/>
      </tp>
      <tp>
        <v>-50</v>
        <stp/>
        <stp>##V3_BDHV12</stp>
        <stp>XOM US Equity</stp>
        <stp>PROC_FR_REPAYMNTS_BOR_DETAILED</stp>
        <stp>FQ3 1998</stp>
        <stp>FQ3 1998</stp>
        <stp>[FA1_ivyerigx.xlsx]Cash Flow - Standardized!R29C3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9" s="4"/>
      </tp>
      <tp>
        <v>60049</v>
        <stp/>
        <stp>##V3_BDHV12</stp>
        <stp>XOM US Equity</stp>
        <stp>NON_CUR_LIAB</stp>
        <stp>FQ2 2007</stp>
        <stp>FQ2 2007</stp>
        <stp>[FA1_ivyerigx.xlsx]Bal Sheet - Standardized!R39C38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9" s="3"/>
      </tp>
      <tp>
        <v>-406</v>
        <stp/>
        <stp>##V3_BDHV12</stp>
        <stp>XOM US Equity</stp>
        <stp>PROC_FR_REPAYMNTS_BOR_DETAILED</stp>
        <stp>FQ1 1999</stp>
        <stp>FQ1 1999</stp>
        <stp>[FA1_ivyerigx.xlsx]Cash Flow - Standardized!R29C5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9" s="4"/>
      </tp>
      <tp>
        <v>946</v>
        <stp/>
        <stp>##V3_BDHV12</stp>
        <stp>XOM US Equity</stp>
        <stp>PROC_FR_REPAYMNTS_BOR_DETAILED</stp>
        <stp>FQ2 1999</stp>
        <stp>FQ2 1999</stp>
        <stp>[FA1_ivyerigx.xlsx]Cash Flow - Standardized!R29C6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9" s="4"/>
      </tp>
      <tp>
        <v>-85</v>
        <stp/>
        <stp>##V3_BDHV12</stp>
        <stp>XOM US Equity</stp>
        <stp>PROC_FR_REPAYMNTS_BOR_DETAILED</stp>
        <stp>FQ3 1999</stp>
        <stp>FQ3 1999</stp>
        <stp>[FA1_ivyerigx.xlsx]Cash Flow - Standardized!R29C7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9" s="4"/>
      </tp>
      <tp>
        <v>0.64500000000000002</v>
        <stp/>
        <stp>##V3_BDHV12</stp>
        <stp>XOM US Equity</stp>
        <stp>IS_DIL_EPS_CONT_OPS</stp>
        <stp>FQ4 1999</stp>
        <stp>FQ4 1999</stp>
        <stp>[FA1_ivyerigx.xlsx]Income - Adjusted!R41C8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1" s="2"/>
      </tp>
      <tp>
        <v>-2812</v>
        <stp/>
        <stp>##V3_BDHV12</stp>
        <stp>XOM US Equity</stp>
        <stp>CFF_ACTIVITIES_DETAILED</stp>
        <stp>FQ1 2003</stp>
        <stp>FQ1 2003</stp>
        <stp>[FA1_ivyerigx.xlsx]Cash Flow - Standardized!R33C21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3" s="4"/>
      </tp>
      <tp>
        <v>-2328</v>
        <stp/>
        <stp>##V3_BDHV12</stp>
        <stp>XOM US Equity</stp>
        <stp>CFF_ACTIVITIES_DETAILED</stp>
        <stp>FQ2 2000</stp>
        <stp>FQ2 2000</stp>
        <stp>[FA1_ivyerigx.xlsx]Cash Flow - Standardized!R33C10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3" s="4"/>
      </tp>
      <tp>
        <v>31423</v>
        <stp/>
        <stp>##V3_BDHV12</stp>
        <stp>XOM US Equity</stp>
        <stp>BS_CASH_NEAR_CASH_ITEM</stp>
        <stp>FQ3 2007</stp>
        <stp>FQ3 2007</stp>
        <stp>[FA1_ivyerigx.xlsx]Bal Sheet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3"/>
      </tp>
      <tp>
        <v>28959</v>
        <stp/>
        <stp>##V3_BDHV12</stp>
        <stp>XOM US Equity</stp>
        <stp>BS_CASH_NEAR_CASH_ITEM</stp>
        <stp>FQ2 2007</stp>
        <stp>FQ2 2007</stp>
        <stp>[FA1_ivyerigx.xlsx]Bal Sheet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3"/>
      </tp>
      <tp>
        <v>-3289</v>
        <stp/>
        <stp>##V3_BDHV12</stp>
        <stp>XOM US Equity</stp>
        <stp>CFF_ACTIVITIES_DETAILED</stp>
        <stp>FQ1 2004</stp>
        <stp>FQ1 2004</stp>
        <stp>[FA1_ivyerigx.xlsx]Cash Flow - Standardized!R33C25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3" s="4"/>
      </tp>
      <tp>
        <v>-4901</v>
        <stp/>
        <stp>##V3_BDHV12</stp>
        <stp>XOM US Equity</stp>
        <stp>CFF_ACTIVITIES_DETAILED</stp>
        <stp>FQ2 2001</stp>
        <stp>FQ2 2001</stp>
        <stp>[FA1_ivyerigx.xlsx]Cash Flow - Standardized!R33C14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3" s="4"/>
      </tp>
      <tp>
        <v>14057</v>
        <stp/>
        <stp>##V3_BDHV12</stp>
        <stp>XOM US Equity</stp>
        <stp>IS_OPERATING_EXPN</stp>
        <stp>FQ4 2005</stp>
        <stp>FQ4 2005</stp>
        <stp>[FA1_ivyerigx.xlsx]Income - Adjusted!R10C32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F10" s="2"/>
      </tp>
      <tp>
        <v>4604</v>
        <stp/>
        <stp>##V3_BDHV12</stp>
        <stp>XOM US Equity</stp>
        <stp>IS_OPERATING_EXPN</stp>
        <stp>FQ4 2001</stp>
        <stp>FQ4 2001</stp>
        <stp>[FA1_ivyerigx.xlsx]Income - Adjusted!R10C16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P10" s="2"/>
      </tp>
      <tp>
        <v>14276</v>
        <stp/>
        <stp>##V3_BDHV12</stp>
        <stp>XOM US Equity</stp>
        <stp>IS_OPERATING_EXPN</stp>
        <stp>FQ4 2003</stp>
        <stp>FQ4 2003</stp>
        <stp>[FA1_ivyerigx.xlsx]Income - Adjusted!R10C24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X10" s="2"/>
      </tp>
      <tp>
        <v>4549</v>
        <stp/>
        <stp>##V3_BDHV12</stp>
        <stp>XOM US Equity</stp>
        <stp>IS_OPERATING_EXPN</stp>
        <stp>FQ4 2007</stp>
        <stp>FQ4 2007</stp>
        <stp>[FA1_ivyerigx.xlsx]Income - Adjusted!R10C40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N10" s="2"/>
      </tp>
      <tp>
        <v>28244</v>
        <stp/>
        <stp>##V3_BDHV12</stp>
        <stp>XOM US Equity</stp>
        <stp>BS_CASH_NEAR_CASH_ITEM</stp>
        <stp>FQ4 2006</stp>
        <stp>FQ4 2006</stp>
        <stp>[FA1_ivyerigx.xlsx]Bal Sheet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3"/>
      </tp>
      <tp>
        <v>29240</v>
        <stp/>
        <stp>##V3_BDHV12</stp>
        <stp>XOM US Equity</stp>
        <stp>BS_CASH_NEAR_CASH_ITEM</stp>
        <stp>FQ3 2005</stp>
        <stp>FQ3 2005</stp>
        <stp>[FA1_ivyerigx.xlsx]Bal Sheet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3"/>
      </tp>
      <tp>
        <v>25648</v>
        <stp/>
        <stp>##V3_BDHV12</stp>
        <stp>XOM US Equity</stp>
        <stp>BS_CASH_NEAR_CASH_ITEM</stp>
        <stp>FQ2 2005</stp>
        <stp>FQ2 2005</stp>
        <stp>[FA1_ivyerigx.xlsx]Bal Sheet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3"/>
      </tp>
      <tp>
        <v>31945</v>
        <stp/>
        <stp>##V3_BDHV12</stp>
        <stp>XOM US Equity</stp>
        <stp>BS_CASH_NEAR_CASH_ITEM</stp>
        <stp>FQ1 2006</stp>
        <stp>FQ1 2006</stp>
        <stp>[FA1_ivyerigx.xlsx]Bal Sheet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3"/>
      </tp>
      <tp>
        <v>-1905</v>
        <stp/>
        <stp>##V3_BDHV12</stp>
        <stp>XOM US Equity</stp>
        <stp>CFF_ACTIVITIES_DETAILED</stp>
        <stp>FQ2 2002</stp>
        <stp>FQ2 2002</stp>
        <stp>[FA1_ivyerigx.xlsx]Cash Flow - Standardized!R33C18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3" s="4"/>
      </tp>
      <tp>
        <v>-5248</v>
        <stp/>
        <stp>##V3_BDHV12</stp>
        <stp>XOM US Equity</stp>
        <stp>CFF_ACTIVITIES_DETAILED</stp>
        <stp>FQ1 2005</stp>
        <stp>FQ1 2005</stp>
        <stp>[FA1_ivyerigx.xlsx]Cash Flow - Standardized!R33C29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3" s="4"/>
      </tp>
      <tp>
        <v>28671</v>
        <stp/>
        <stp>##V3_BDHV12</stp>
        <stp>XOM US Equity</stp>
        <stp>BS_CASH_NEAR_CASH_ITEM</stp>
        <stp>FQ4 2005</stp>
        <stp>FQ4 2005</stp>
        <stp>[FA1_ivyerigx.xlsx]Bal Sheet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3"/>
      </tp>
      <tp>
        <v>29994</v>
        <stp/>
        <stp>##V3_BDHV12</stp>
        <stp>XOM US Equity</stp>
        <stp>BS_CASH_NEAR_CASH_ITEM</stp>
        <stp>FQ1 2007</stp>
        <stp>FQ1 2007</stp>
        <stp>[FA1_ivyerigx.xlsx]Bal Sheet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3"/>
      </tp>
      <tp>
        <v>32113</v>
        <stp/>
        <stp>##V3_BDHV12</stp>
        <stp>XOM US Equity</stp>
        <stp>BS_CASH_NEAR_CASH_ITEM</stp>
        <stp>FQ2 2006</stp>
        <stp>FQ2 2006</stp>
        <stp>[FA1_ivyerigx.xlsx]Bal Sheet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3"/>
      </tp>
      <tp>
        <v>32734</v>
        <stp/>
        <stp>##V3_BDHV12</stp>
        <stp>XOM US Equity</stp>
        <stp>BS_CASH_NEAR_CASH_ITEM</stp>
        <stp>FQ3 2006</stp>
        <stp>FQ3 2006</stp>
        <stp>[FA1_ivyerigx.xlsx]Bal Sheet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3"/>
      </tp>
      <tp>
        <v>-1289</v>
        <stp/>
        <stp>##V3_BDHV12</stp>
        <stp>XOM US Equity</stp>
        <stp>CF_DECR_CAP_STOCK</stp>
        <stp>FQ3 2001</stp>
        <stp>FQ3 2001</stp>
        <stp>[FA1_ivyerigx.xlsx]Cash Flow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4"/>
      </tp>
      <tp>
        <v>-5764</v>
        <stp/>
        <stp>##V3_BDHV12</stp>
        <stp>XOM US Equity</stp>
        <stp>CF_DECR_CAP_STOCK</stp>
        <stp>FQ1 2006</stp>
        <stp>FQ1 2006</stp>
        <stp>[FA1_ivyerigx.xlsx]Cash Flow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4"/>
      </tp>
      <tp>
        <v>-856</v>
        <stp/>
        <stp>##V3_BDHV12</stp>
        <stp>XOM US Equity</stp>
        <stp>CF_DECR_CAP_STOCK</stp>
        <stp>FQ3 2000</stp>
        <stp>FQ3 2000</stp>
        <stp>[FA1_ivyerigx.xlsx]Cash Flow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4"/>
      </tp>
      <tp>
        <v>-7788</v>
        <stp/>
        <stp>##V3_BDHV12</stp>
        <stp>XOM US Equity</stp>
        <stp>CF_DECR_CAP_STOCK</stp>
        <stp>FQ1 2007</stp>
        <stp>FQ1 2007</stp>
        <stp>[FA1_ivyerigx.xlsx]Cash Flow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4"/>
      </tp>
      <tp>
        <v>10478</v>
        <stp/>
        <stp>##V3_BDHV12</stp>
        <stp>XOM US Equity</stp>
        <stp>IS_OPER_INC</stp>
        <stp>FQ1 2005</stp>
        <stp>FQ1 2005</stp>
        <stp>[FA1_ivyerigx.xlsx]Income - Adjusted!R12C29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2" s="2"/>
      </tp>
      <tp>
        <v>11380</v>
        <stp/>
        <stp>##V3_BDHV12</stp>
        <stp>XOM US Equity</stp>
        <stp>IS_OPER_INC</stp>
        <stp>FQ4 2004</stp>
        <stp>FQ4 2004</stp>
        <stp>[FA1_ivyerigx.xlsx]Income - Adjusted!R12C28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2" s="2"/>
      </tp>
      <tp>
        <v>-1033</v>
        <stp/>
        <stp>##V3_BDHV12</stp>
        <stp>XOM US Equity</stp>
        <stp>CF_DECR_CAP_STOCK</stp>
        <stp>FQ3 2002</stp>
        <stp>FQ3 2002</stp>
        <stp>[FA1_ivyerigx.xlsx]Cash Flow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4"/>
      </tp>
      <tp>
        <v>3465</v>
        <stp/>
        <stp>##V3_BDHV12</stp>
        <stp>XOM US Equity</stp>
        <stp>CF_FREE_CASH_FLOW</stp>
        <stp>FQ4 2000</stp>
        <stp>FQ4 2000</stp>
        <stp>[FA1_ivyerigx.xlsx]Cash Flow - Standardized!R46C12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6" s="4"/>
      </tp>
      <tp>
        <v>264</v>
        <stp/>
        <stp>##V3_BDHV12</stp>
        <stp>XOM US Equity</stp>
        <stp>CF_FREE_CASH_FLOW</stp>
        <stp>FQ4 2001</stp>
        <stp>FQ4 2001</stp>
        <stp>[FA1_ivyerigx.xlsx]Cash Flow - Standardized!R46C16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6" s="4"/>
      </tp>
      <tp>
        <v>17441</v>
        <stp/>
        <stp>##V3_BDHV12</stp>
        <stp>XOM US Equity</stp>
        <stp>CF_FREE_CASH_FLOW</stp>
        <stp>FQ1 2008</stp>
        <stp>FQ1 2008</stp>
        <stp>[FA1_ivyerigx.xlsx]Cash Flow - Standardized!R46C41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6" s="4"/>
      </tp>
      <tp>
        <v>2.27</v>
        <stp/>
        <stp>##V3_BDHV12</stp>
        <stp>XOM US Equity</stp>
        <stp>IS_DIL_EPS_CONT_OPS</stp>
        <stp>FQ2 2008</stp>
        <stp>FQ2 2008</stp>
        <stp>[FA1_ivyerigx.xlsx]Per Share!R19C42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9" s="5"/>
      </tp>
      <tp>
        <v>0.39</v>
        <stp/>
        <stp>##V3_BDHV12</stp>
        <stp>XOM US Equity</stp>
        <stp>IS_DIL_EPS_CONT_OPS</stp>
        <stp>FQ2 2002</stp>
        <stp>FQ2 2002</stp>
        <stp>[FA1_ivyerigx.xlsx]Per Share!R19C18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9" s="5"/>
      </tp>
      <tp>
        <v>1204</v>
        <stp/>
        <stp>##V3_BDHV12</stp>
        <stp>XOM US Equity</stp>
        <stp>EARN_FOR_COMMON</stp>
        <stp>FQ2 1999</stp>
        <stp>FQ2 1999</stp>
        <stp>[FA1_ivyerigx.xlsx]Income - Adjusted!R27C6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F27" s="2"/>
      </tp>
      <tp>
        <v>1500</v>
        <stp/>
        <stp>##V3_BDHV12</stp>
        <stp>XOM US Equity</stp>
        <stp>EARN_FOR_COMMON</stp>
        <stp>FQ3 1999</stp>
        <stp>FQ3 1999</stp>
        <stp>[FA1_ivyerigx.xlsx]Income - Adjusted!R27C7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G27" s="2"/>
      </tp>
      <tp>
        <v>1018</v>
        <stp/>
        <stp>##V3_BDHV12</stp>
        <stp>XOM US Equity</stp>
        <stp>EARN_FOR_COMMON</stp>
        <stp>FQ1 1999</stp>
        <stp>FQ1 1999</stp>
        <stp>[FA1_ivyerigx.xlsx]Income - Adjusted!R27C5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E27" s="2"/>
      </tp>
      <tp>
        <v>1.83</v>
        <stp/>
        <stp>##V3_BDHV12</stp>
        <stp>XOM US Equity</stp>
        <stp>IS_DIL_EPS_BEF_XO</stp>
        <stp>FQ2 2007</stp>
        <stp>FQ2 2007</stp>
        <stp>[FA1_ivyerigx.xlsx]Income - Adjusted!R40C38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0" s="2"/>
      </tp>
      <tp>
        <v>3850</v>
        <stp/>
        <stp>##V3_BDHV12</stp>
        <stp>XOM US Equity</stp>
        <stp>EBIT</stp>
        <stp>FQ3 2002</stp>
        <stp>FQ3 2002</stp>
        <stp>[FA1_ivyerigx.xlsx]Income - Adjusted!R48C19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48" s="2"/>
      </tp>
      <tp>
        <v>1702</v>
        <stp/>
        <stp>##V3_BDHV12</stp>
        <stp>XOM US Equity</stp>
        <stp>BS_ST_BORROW</stp>
        <stp>FQ4 2006</stp>
        <stp>FQ4 2006</stp>
        <stp>[FA1_ivyerigx.xlsx]Bal Sheet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3"/>
      </tp>
      <tp>
        <v>123139</v>
        <stp/>
        <stp>##V3_BDHV12</stp>
        <stp>XOM US Equity</stp>
        <stp>TOTAL_EQUITY</stp>
        <stp>FQ1 2008</stp>
        <stp>FQ1 2008</stp>
        <stp>[FA1_ivyerigx.xlsx]Bal Sheet - Standardized!R48C41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8" s="3"/>
      </tp>
      <tp>
        <v>0</v>
        <stp/>
        <stp>##V3_BDHV12</stp>
        <stp>XOM US Equity</stp>
        <stp>IS_FOREIGN_EXCH_LOSS</stp>
        <stp>FQ2 2007</stp>
        <stp>FQ2 2007</stp>
        <stp>[FA1_ivyerigx.xlsx]Income - Adjusted!R15C38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5" s="2"/>
      </tp>
      <tp>
        <v>1771</v>
        <stp/>
        <stp>##V3_BDHV12</stp>
        <stp>XOM US Equity</stp>
        <stp>BS_ST_BORROW</stp>
        <stp>FQ4 2005</stp>
        <stp>FQ4 2005</stp>
        <stp>[FA1_ivyerigx.xlsx]Bal Sheet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3"/>
      </tp>
      <tp>
        <v>75986</v>
        <stp/>
        <stp>##V3_BDHV12</stp>
        <stp>XOM US Equity</stp>
        <stp>TOTAL_EQUITY</stp>
        <stp>FQ4 2001</stp>
        <stp>FQ4 2001</stp>
        <stp>[FA1_ivyerigx.xlsx]Bal Sheet - Standardized!R48C16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8" s="3"/>
      </tp>
      <tp>
        <v>0</v>
        <stp/>
        <stp>##V3_BDHV12</stp>
        <stp>XOM US Equity</stp>
        <stp>BS_OTHER_INV</stp>
        <stp>FQ4 2005</stp>
        <stp>FQ4 2005</stp>
        <stp>[FA1_ivyerigx.xlsx]Bal Sheet - Standardized!R16C32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6" s="3"/>
      </tp>
      <tp>
        <v>0.63</v>
        <stp/>
        <stp>##V3_BDHV12</stp>
        <stp>XOM US Equity</stp>
        <stp>IS_EARN_BEF_XO_ITEMS_PER_SH</stp>
        <stp>FQ2 2003</stp>
        <stp>FQ2 2003</stp>
        <stp>[FA1_ivyerigx.xlsx]Income - Adjusted!R35C22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35" s="2"/>
      </tp>
      <tp>
        <v>0.56999999999999995</v>
        <stp/>
        <stp>##V3_BDHV12</stp>
        <stp>XOM US Equity</stp>
        <stp>IS_EARN_BEF_XO_ITEMS_PER_SH</stp>
        <stp>FQ3 2000</stp>
        <stp>FQ3 2000</stp>
        <stp>[FA1_ivyerigx.xlsx]Income - Adjusted!R35C11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35" s="2"/>
      </tp>
      <tp>
        <v>0.83</v>
        <stp/>
        <stp>##V3_BDHV12</stp>
        <stp>XOM US Equity</stp>
        <stp>IS_EARN_BEF_XO_ITEMS_PER_SH</stp>
        <stp>FQ1 2004</stp>
        <stp>FQ1 2004</stp>
        <stp>[FA1_ivyerigx.xlsx]Income - Adjusted!R35C25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35" s="2"/>
      </tp>
      <tp>
        <v>73987</v>
        <stp/>
        <stp>##V3_BDHV12</stp>
        <stp>XOM US Equity</stp>
        <stp>TOTAL_EQUITY</stp>
        <stp>FQ4 2000</stp>
        <stp>FQ4 2000</stp>
        <stp>[FA1_ivyerigx.xlsx]Bal Sheet - Standardized!R48C12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8" s="3"/>
      </tp>
      <tp>
        <v>0</v>
        <stp/>
        <stp>##V3_BDHV12</stp>
        <stp>XOM US Equity</stp>
        <stp>BS_OTHER_INV</stp>
        <stp>FQ4 2006</stp>
        <stp>FQ4 2006</stp>
        <stp>[FA1_ivyerigx.xlsx]Bal Sheet - Standardized!R16C36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6" s="3"/>
      </tp>
      <tp>
        <v>0.30149999999999999</v>
        <stp/>
        <stp>##V3_BDHV12</stp>
        <stp>XOM US Equity</stp>
        <stp>FREE_CASH_FLOW_PER_SH</stp>
        <stp>FQ4 1999</stp>
        <stp>FQ4 1999</stp>
        <stp>[FA1_ivyerigx.xlsx]Cash Flow - Standardized!R49C8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49" s="4"/>
      </tp>
      <tp>
        <v>95867</v>
        <stp/>
        <stp>##V3_BDHV12</stp>
        <stp>XOM US Equity</stp>
        <stp>BS_ACCUM_DEPR</stp>
        <stp>FQ1 2000</stp>
        <stp>FQ1 2000</stp>
        <stp>[FA1_ivyerigx.xlsx]Bal Sheet - Standardized!R21C9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1" s="3"/>
      </tp>
      <tp>
        <v>-1406</v>
        <stp/>
        <stp>##V3_BDHV12</stp>
        <stp>XOM US Equity</stp>
        <stp>CF_DECR_CAP_STOCK</stp>
        <stp>FQ2 2001</stp>
        <stp>FQ2 2001</stp>
        <stp>[FA1_ivyerigx.xlsx]Cash Flow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4"/>
      </tp>
      <tp>
        <v>-1155</v>
        <stp/>
        <stp>##V3_BDHV12</stp>
        <stp>XOM US Equity</stp>
        <stp>CF_DECR_CAP_STOCK</stp>
        <stp>FQ1 2003</stp>
        <stp>FQ1 2003</stp>
        <stp>[FA1_ivyerigx.xlsx]Cash Flow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4"/>
      </tp>
      <tp>
        <v>0</v>
        <stp/>
        <stp>##V3_BDHV12</stp>
        <stp>XOM US Equity</stp>
        <stp>CF_DECR_CAP_STOCK</stp>
        <stp>FQ2 2000</stp>
        <stp>FQ2 2000</stp>
        <stp>[FA1_ivyerigx.xlsx]Cash Flow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4"/>
      </tp>
      <tp>
        <v>-1745</v>
        <stp/>
        <stp>##V3_BDHV12</stp>
        <stp>XOM US Equity</stp>
        <stp>CF_DECR_CAP_STOCK</stp>
        <stp>FQ1 2004</stp>
        <stp>FQ1 2004</stp>
        <stp>[FA1_ivyerigx.xlsx]Cash Flow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4"/>
      </tp>
      <tp>
        <v>-3087</v>
        <stp/>
        <stp>##V3_BDHV12</stp>
        <stp>XOM US Equity</stp>
        <stp>CF_DECR_CAP_STOCK</stp>
        <stp>FQ1 2005</stp>
        <stp>FQ1 2005</stp>
        <stp>[FA1_ivyerigx.xlsx]Cash Flow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4"/>
      </tp>
      <tp>
        <v>-1052</v>
        <stp/>
        <stp>##V3_BDHV12</stp>
        <stp>XOM US Equity</stp>
        <stp>CF_DECR_CAP_STOCK</stp>
        <stp>FQ2 2002</stp>
        <stp>FQ2 2002</stp>
        <stp>[FA1_ivyerigx.xlsx]Cash Flow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4"/>
      </tp>
      <tp>
        <v>-1836</v>
        <stp/>
        <stp>##V3_BDHV12</stp>
        <stp>XOM US Equity</stp>
        <stp>CF_CASH_FROM_INV_ACT</stp>
        <stp>FQ3 1999</stp>
        <stp>FQ3 1999</stp>
        <stp>[FA1_ivyerigx.xlsx]Cash Flow - Standardized!R25C7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5" s="4"/>
      </tp>
      <tp>
        <v>-2124</v>
        <stp/>
        <stp>##V3_BDHV12</stp>
        <stp>XOM US Equity</stp>
        <stp>CF_CASH_FROM_INV_ACT</stp>
        <stp>FQ2 1999</stp>
        <stp>FQ2 1999</stp>
        <stp>[FA1_ivyerigx.xlsx]Cash Flow - Standardized!R25C6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5" s="4"/>
      </tp>
      <tp>
        <v>-1247</v>
        <stp/>
        <stp>##V3_BDHV12</stp>
        <stp>XOM US Equity</stp>
        <stp>CF_CASH_FROM_INV_ACT</stp>
        <stp>FQ1 1999</stp>
        <stp>FQ1 1999</stp>
        <stp>[FA1_ivyerigx.xlsx]Cash Flow - Standardized!R25C5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5" s="4"/>
      </tp>
      <tp>
        <v>-2541</v>
        <stp/>
        <stp>##V3_BDHV12</stp>
        <stp>XOM US Equity</stp>
        <stp>CF_CASH_FROM_INV_ACT</stp>
        <stp>FQ3 1998</stp>
        <stp>FQ3 1998</stp>
        <stp>[FA1_ivyerigx.xlsx]Cash Flow - Standardized!R25C3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5" s="4"/>
      </tp>
      <tp>
        <v>-6433</v>
        <stp/>
        <stp>##V3_BDHV12</stp>
        <stp>XOM US Equity</stp>
        <stp>CF_CASH_FROM_INV_ACT</stp>
        <stp>FQ4 1998</stp>
        <stp>FQ4 1998</stp>
        <stp>[FA1_ivyerigx.xlsx]Cash Flow - Standardized!R25C4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5" s="4"/>
      </tp>
      <tp>
        <v>-5778</v>
        <stp/>
        <stp>##V3_BDHV12</stp>
        <stp>XOM US Equity</stp>
        <stp>CF_CASH_FROM_INV_ACT</stp>
        <stp>FQ4 1999</stp>
        <stp>FQ4 1999</stp>
        <stp>[FA1_ivyerigx.xlsx]Cash Flow - Standardized!R25C8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5" s="4"/>
      </tp>
      <tp>
        <v>43.281300000000002</v>
        <stp/>
        <stp>##V3_BDHV12</stp>
        <stp>XOM US Equity</stp>
        <stp>PX_HIGH</stp>
        <stp>FQ4 1999</stp>
        <stp>FQ4 1999</stp>
        <stp>[FA1_ivyerigx.xlsx]Stock Value!R9C8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9" s="6"/>
      </tp>
      <tp>
        <v>0.44</v>
        <stp/>
        <stp>##V3_BDHV12</stp>
        <stp>XOM US Equity</stp>
        <stp>IS_DIL_EPS_CONT_OPS</stp>
        <stp>FQ3 2002</stp>
        <stp>FQ3 2002</stp>
        <stp>[FA1_ivyerigx.xlsx]Per Share!R19C19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9" s="5"/>
      </tp>
      <tp>
        <v>1.7</v>
        <stp/>
        <stp>##V3_BDHV12</stp>
        <stp>XOM US Equity</stp>
        <stp>IS_DIL_EPS_BEF_XO</stp>
        <stp>FQ3 2007</stp>
        <stp>FQ3 2007</stp>
        <stp>[FA1_ivyerigx.xlsx]Income - Adjusted!R40C39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0" s="2"/>
      </tp>
      <tp>
        <v>996</v>
        <stp/>
        <stp>##V3_BDHV12</stp>
        <stp>XOM US Equity</stp>
        <stp>IS_TOT_CASH_COM_DVD</stp>
        <stp>FQ1 1999</stp>
        <stp>FQ1 1999</stp>
        <stp>[FA1_ivyerigx.xlsx]Income - Adjusted!R54C5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4" s="2"/>
      </tp>
      <tp>
        <v>4930</v>
        <stp/>
        <stp>##V3_BDHV12</stp>
        <stp>XOM US Equity</stp>
        <stp>IS_SH_FOR_DILUTED_EPS</stp>
        <stp>FQ3 1998</stp>
        <stp>FQ3 1998</stp>
        <stp>[FA1_ivyerigx.xlsx]Per Share!R7C3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7" s="5"/>
      </tp>
      <tp>
        <v>4916</v>
        <stp/>
        <stp>##V3_BDHV12</stp>
        <stp>XOM US Equity</stp>
        <stp>IS_SH_FOR_DILUTED_EPS</stp>
        <stp>FQ4 1998</stp>
        <stp>FQ4 1998</stp>
        <stp>[FA1_ivyerigx.xlsx]Per Share!R7C4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7" s="5"/>
      </tp>
      <tp>
        <v>1531</v>
        <stp/>
        <stp>##V3_BDHV12</stp>
        <stp>XOM US Equity</stp>
        <stp>IS_TOT_CASH_COM_DVD</stp>
        <stp>FQ1 2000</stp>
        <stp>FQ1 2000</stp>
        <stp>[FA1_ivyerigx.xlsx]Income - Adjusted!R54C9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4" s="2"/>
      </tp>
      <tp>
        <v>18242</v>
        <stp/>
        <stp>##V3_BDHV12</stp>
        <stp>XOM US Equity</stp>
        <stp>EBIT</stp>
        <stp>FQ2 2008</stp>
        <stp>FQ2 2008</stp>
        <stp>[FA1_ivyerigx.xlsx]Income - Adjusted!R48C42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48" s="2"/>
      </tp>
      <tp>
        <v>3571</v>
        <stp/>
        <stp>##V3_BDHV12</stp>
        <stp>XOM US Equity</stp>
        <stp>EBIT</stp>
        <stp>FQ2 2002</stp>
        <stp>FQ2 2002</stp>
        <stp>[FA1_ivyerigx.xlsx]Income - Adjusted!R48C18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48" s="2"/>
      </tp>
      <tp>
        <v>0</v>
        <stp/>
        <stp>##V3_BDHV12</stp>
        <stp>XOM US Equity</stp>
        <stp>BS_OTHER_INV</stp>
        <stp>FQ2 2008</stp>
        <stp>FQ2 2008</stp>
        <stp>[FA1_ivyerigx.xlsx]Bal Sheet - Standardized!R16C42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6" s="3"/>
      </tp>
      <tp>
        <v>0</v>
        <stp/>
        <stp>##V3_BDHV12</stp>
        <stp>XOM US Equity</stp>
        <stp>BS_OTHER_INV</stp>
        <stp>FQ4 2004</stp>
        <stp>FQ4 2004</stp>
        <stp>[FA1_ivyerigx.xlsx]Bal Sheet - Standardized!R16C28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6" s="3"/>
      </tp>
      <tp>
        <v>4093</v>
        <stp/>
        <stp>##V3_BDHV12</stp>
        <stp>XOM US Equity</stp>
        <stp>BS_ST_BORROW</stp>
        <stp>FQ4 2002</stp>
        <stp>FQ4 2002</stp>
        <stp>[FA1_ivyerigx.xlsx]Bal Sheet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3"/>
      </tp>
      <tp>
        <v>0</v>
        <stp/>
        <stp>##V3_BDHV12</stp>
        <stp>XOM US Equity</stp>
        <stp>IS_FOREIGN_EXCH_LOSS</stp>
        <stp>FQ3 2007</stp>
        <stp>FQ3 2007</stp>
        <stp>[FA1_ivyerigx.xlsx]Income - Adjusted!R15C39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5" s="2"/>
      </tp>
      <tp>
        <v>4789</v>
        <stp/>
        <stp>##V3_BDHV12</stp>
        <stp>XOM US Equity</stp>
        <stp>BS_ST_BORROW</stp>
        <stp>FQ4 2003</stp>
        <stp>FQ4 2003</stp>
        <stp>[FA1_ivyerigx.xlsx]Bal Sheet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3"/>
      </tp>
      <tp>
        <v>0</v>
        <stp/>
        <stp>##V3_BDHV12</stp>
        <stp>XOM US Equity</stp>
        <stp>BS_OTHER_INV</stp>
        <stp>FQ4 2003</stp>
        <stp>FQ4 2003</stp>
        <stp>[FA1_ivyerigx.xlsx]Bal Sheet - Standardized!R16C24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6" s="3"/>
      </tp>
      <tp>
        <v>0.57999999999999996</v>
        <stp/>
        <stp>##V3_BDHV12</stp>
        <stp>XOM US Equity</stp>
        <stp>IS_EARN_BEF_XO_ITEMS_PER_SH</stp>
        <stp>FQ2 2000</stp>
        <stp>FQ2 2000</stp>
        <stp>[FA1_ivyerigx.xlsx]Income - Adjusted!R35C10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35" s="2"/>
      </tp>
      <tp>
        <v>0.55000000000000004</v>
        <stp/>
        <stp>##V3_BDHV12</stp>
        <stp>XOM US Equity</stp>
        <stp>IS_EARN_BEF_XO_ITEMS_PER_SH</stp>
        <stp>FQ3 2003</stp>
        <stp>FQ3 2003</stp>
        <stp>[FA1_ivyerigx.xlsx]Income - Adjusted!R35C23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35" s="2"/>
      </tp>
      <tp>
        <v>1.6400000000000001</v>
        <stp/>
        <stp>##V3_BDHV12</stp>
        <stp>XOM US Equity</stp>
        <stp>IS_EARN_BEF_XO_ITEMS_PER_SH</stp>
        <stp>FQ1 2007</stp>
        <stp>FQ1 2007</stp>
        <stp>[FA1_ivyerigx.xlsx]Income - Adjusted!R35C37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35" s="2"/>
      </tp>
      <tp>
        <v>1.77</v>
        <stp/>
        <stp>##V3_BDHV12</stp>
        <stp>XOM US Equity</stp>
        <stp>IS_EARN_BEF_XO_ITEMS_PER_SH</stp>
        <stp>FQ4 2006</stp>
        <stp>FQ4 2006</stp>
        <stp>[FA1_ivyerigx.xlsx]Income - Adjusted!R35C36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35" s="2"/>
      </tp>
      <tp>
        <v>0</v>
        <stp/>
        <stp>##V3_BDHV12</stp>
        <stp>XOM US Equity</stp>
        <stp>BS_OTHER_INV</stp>
        <stp>FQ4 2002</stp>
        <stp>FQ4 2002</stp>
        <stp>[FA1_ivyerigx.xlsx]Bal Sheet - Standardized!R16C20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6" s="3"/>
      </tp>
      <tp>
        <v>3280</v>
        <stp/>
        <stp>##V3_BDHV12</stp>
        <stp>XOM US Equity</stp>
        <stp>BS_ST_BORROW</stp>
        <stp>FQ4 2004</stp>
        <stp>FQ4 2004</stp>
        <stp>[FA1_ivyerigx.xlsx]Bal Sheet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3"/>
      </tp>
      <tp>
        <v>2310</v>
        <stp/>
        <stp>##V3_BDHV12</stp>
        <stp>XOM US Equity</stp>
        <stp>BS_ST_BORROW</stp>
        <stp>FQ2 2008</stp>
        <stp>FQ2 2008</stp>
        <stp>[FA1_ivyerigx.xlsx]Bal Sheet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3"/>
      </tp>
      <tp>
        <v>3322</v>
        <stp/>
        <stp>##V3_BDHV12</stp>
        <stp>XOM US Equity</stp>
        <stp>IS_OPERATING_EXPN</stp>
        <stp>FQ1 2008</stp>
        <stp>FQ1 2008</stp>
        <stp>[FA1_ivyerigx.xlsx]Income - Adjusted!R10C41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0" s="2"/>
      </tp>
      <tp>
        <v>-5289</v>
        <stp/>
        <stp>##V3_BDHV12</stp>
        <stp>XOM US Equity</stp>
        <stp>CF_DECR_CAP_STOCK</stp>
        <stp>FQ3 2005</stp>
        <stp>FQ3 2005</stp>
        <stp>[FA1_ivyerigx.xlsx]Cash Flow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4"/>
      </tp>
      <tp>
        <v>-1317</v>
        <stp/>
        <stp>##V3_BDHV12</stp>
        <stp>XOM US Equity</stp>
        <stp>CF_DECR_CAP_STOCK</stp>
        <stp>FQ1 2002</stp>
        <stp>FQ1 2002</stp>
        <stp>[FA1_ivyerigx.xlsx]Cash Flow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4"/>
      </tp>
      <tp>
        <v>-1056</v>
        <stp/>
        <stp>##V3_BDHV12</stp>
        <stp>XOM US Equity</stp>
        <stp>CF_DECR_CAP_STOCK</stp>
        <stp>FQ2 2003</stp>
        <stp>FQ2 2003</stp>
        <stp>[FA1_ivyerigx.xlsx]Cash Flow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4"/>
      </tp>
      <tp>
        <v>-1370</v>
        <stp/>
        <stp>##V3_BDHV12</stp>
        <stp>XOM US Equity</stp>
        <stp>CF_DECR_CAP_STOCK</stp>
        <stp>FQ1 2001</stp>
        <stp>FQ1 2001</stp>
        <stp>[FA1_ivyerigx.xlsx]Cash Flow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4"/>
      </tp>
      <tp>
        <v>-7938</v>
        <stp/>
        <stp>##V3_BDHV12</stp>
        <stp>XOM US Equity</stp>
        <stp>CF_DECR_CAP_STOCK</stp>
        <stp>FQ4 2007</stp>
        <stp>FQ4 2007</stp>
        <stp>[FA1_ivyerigx.xlsx]Cash Flow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4"/>
      </tp>
      <tp>
        <v>-7985</v>
        <stp/>
        <stp>##V3_BDHV12</stp>
        <stp>XOM US Equity</stp>
        <stp>CF_DECR_CAP_STOCK</stp>
        <stp>FQ3 2006</stp>
        <stp>FQ3 2006</stp>
        <stp>[FA1_ivyerigx.xlsx]Cash Flow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4"/>
      </tp>
      <tp>
        <v>-1730</v>
        <stp/>
        <stp>##V3_BDHV12</stp>
        <stp>XOM US Equity</stp>
        <stp>CF_DECR_CAP_STOCK</stp>
        <stp>FQ2 2004</stp>
        <stp>FQ2 2004</stp>
        <stp>[FA1_ivyerigx.xlsx]Cash Flow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4"/>
      </tp>
      <tp>
        <v>-8463</v>
        <stp/>
        <stp>##V3_BDHV12</stp>
        <stp>XOM US Equity</stp>
        <stp>CF_DECR_CAP_STOCK</stp>
        <stp>FQ3 2007</stp>
        <stp>FQ3 2007</stp>
        <stp>[FA1_ivyerigx.xlsx]Cash Flow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4"/>
      </tp>
      <tp>
        <v>13910</v>
        <stp/>
        <stp>##V3_BDHV12</stp>
        <stp>XOM US Equity</stp>
        <stp>IS_OPER_INC</stp>
        <stp>FQ3 2007</stp>
        <stp>FQ3 2007</stp>
        <stp>[FA1_ivyerigx.xlsx]Income - Adjusted!R12C39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2" s="2"/>
      </tp>
      <tp>
        <v>5095</v>
        <stp/>
        <stp>##V3_BDHV12</stp>
        <stp>XOM US Equity</stp>
        <stp>CF_FREE_CASH_FLOW</stp>
        <stp>FQ4 2006</stp>
        <stp>FQ4 2006</stp>
        <stp>[FA1_ivyerigx.xlsx]Cash Flow - Standardized!R46C36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6" s="4"/>
      </tp>
      <tp>
        <v>6491</v>
        <stp/>
        <stp>##V3_BDHV12</stp>
        <stp>XOM US Equity</stp>
        <stp>CF_FREE_CASH_FLOW</stp>
        <stp>FQ4 2005</stp>
        <stp>FQ4 2005</stp>
        <stp>[FA1_ivyerigx.xlsx]Cash Flow - Standardized!R46C32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6" s="4"/>
      </tp>
      <tp>
        <v>16.730499999999999</v>
        <stp/>
        <stp>##V3_BDHV12</stp>
        <stp>XOM US Equity</stp>
        <stp>NET_DEBT_TO_SHRHLDR_EQTY</stp>
        <stp>FQ3 1998</stp>
        <stp>FQ3 1998</stp>
        <stp>[FA1_ivyerigx.xlsx]Bal Sheet - Standardized!R61C3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1" s="3"/>
      </tp>
      <tp>
        <v>1058</v>
        <stp/>
        <stp>##V3_BDHV12</stp>
        <stp>XOM US Equity</stp>
        <stp>BS_NUM_OF_TSY_SH</stp>
        <stp>FQ1 2000</stp>
        <stp>FQ1 2000</stp>
        <stp>[FA1_ivyerigx.xlsx]Bal Sheet - Standardized!R54C9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54" s="3"/>
      </tp>
      <tp>
        <v>16.061199999999999</v>
        <stp/>
        <stp>##V3_BDHV12</stp>
        <stp>XOM US Equity</stp>
        <stp>NET_DEBT_TO_SHRHLDR_EQTY</stp>
        <stp>FQ4 1998</stp>
        <stp>FQ4 1998</stp>
        <stp>[FA1_ivyerigx.xlsx]Bal Sheet - Standardized!R61C4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1" s="3"/>
      </tp>
      <tp>
        <v>39</v>
        <stp/>
        <stp>##V3_BDHV12</stp>
        <stp>XOM US Equity</stp>
        <stp>PX_LAST</stp>
        <stp>FQ1 2000</stp>
        <stp>FQ1 2000</stp>
        <stp>[FA1_ivyerigx.xlsx]Stock Value!R6C9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" s="6"/>
      </tp>
      <tp>
        <v>995</v>
        <stp/>
        <stp>##V3_BDHV12</stp>
        <stp>XOM US Equity</stp>
        <stp>IS_TOT_CASH_COM_DVD</stp>
        <stp>FQ2 1999</stp>
        <stp>FQ2 1999</stp>
        <stp>[FA1_ivyerigx.xlsx]Income - Adjusted!R54C6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4" s="2"/>
      </tp>
      <tp>
        <v>6956</v>
        <stp/>
        <stp>##V3_BDHV12</stp>
        <stp>XOM US Equity</stp>
        <stp>IS_AVG_NUM_SH_FOR_EPS</stp>
        <stp>FQ1 2000</stp>
        <stp>FQ1 2000</stp>
        <stp>[FA1_ivyerigx.xlsx]Per Share!R8C9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5"/>
      </tp>
      <tp>
        <v>17795</v>
        <stp/>
        <stp>##V3_BDHV12</stp>
        <stp>XOM US Equity</stp>
        <stp>EBIT</stp>
        <stp>FQ1 2008</stp>
        <stp>FQ1 2008</stp>
        <stp>[FA1_ivyerigx.xlsx]Income - Adjusted!R48C41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48" s="2"/>
      </tp>
      <tp>
        <v>0</v>
        <stp/>
        <stp>##V3_BDHV12</stp>
        <stp>XOM US Equity</stp>
        <stp>BS_OTHER_INV</stp>
        <stp>FQ1 2008</stp>
        <stp>FQ1 2008</stp>
        <stp>[FA1_ivyerigx.xlsx]Bal Sheet - Standardized!R16C41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6" s="3"/>
      </tp>
      <tp>
        <v>6161</v>
        <stp/>
        <stp>##V3_BDHV12</stp>
        <stp>XOM US Equity</stp>
        <stp>BS_ST_BORROW</stp>
        <stp>FQ4 2000</stp>
        <stp>FQ4 2000</stp>
        <stp>[FA1_ivyerigx.xlsx]Bal Sheet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3"/>
      </tp>
      <tp>
        <v>3703</v>
        <stp/>
        <stp>##V3_BDHV12</stp>
        <stp>XOM US Equity</stp>
        <stp>BS_ST_BORROW</stp>
        <stp>FQ4 2001</stp>
        <stp>FQ4 2001</stp>
        <stp>[FA1_ivyerigx.xlsx]Bal Sheet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3"/>
      </tp>
      <tp>
        <v>114713</v>
        <stp/>
        <stp>##V3_BDHV12</stp>
        <stp>XOM US Equity</stp>
        <stp>TOTAL_EQUITY</stp>
        <stp>FQ4 2005</stp>
        <stp>FQ4 2005</stp>
        <stp>[FA1_ivyerigx.xlsx]Bal Sheet - Standardized!R48C32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8" s="3"/>
      </tp>
      <tp>
        <v>0</v>
        <stp/>
        <stp>##V3_BDHV12</stp>
        <stp>XOM US Equity</stp>
        <stp>BS_OTHER_INV</stp>
        <stp>FQ4 2001</stp>
        <stp>FQ4 2001</stp>
        <stp>[FA1_ivyerigx.xlsx]Bal Sheet - Standardized!R16C16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6" s="3"/>
      </tp>
      <tp>
        <v>1.79</v>
        <stp/>
        <stp>##V3_BDHV12</stp>
        <stp>XOM US Equity</stp>
        <stp>IS_EARN_BEF_XO_ITEMS_PER_SH</stp>
        <stp>FQ3 2006</stp>
        <stp>FQ3 2006</stp>
        <stp>[FA1_ivyerigx.xlsx]Income - Adjusted!R35C35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35" s="2"/>
      </tp>
      <tp>
        <v>0.88</v>
        <stp/>
        <stp>##V3_BDHV12</stp>
        <stp>XOM US Equity</stp>
        <stp>IS_EARN_BEF_XO_ITEMS_PER_SH</stp>
        <stp>FQ3 2004</stp>
        <stp>FQ3 2004</stp>
        <stp>[FA1_ivyerigx.xlsx]Income - Adjusted!R35C27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35" s="2"/>
      </tp>
      <tp>
        <v>0</v>
        <stp/>
        <stp>##V3_BDHV12</stp>
        <stp>XOM US Equity</stp>
        <stp>BS_OTHER_INV</stp>
        <stp>FQ4 2000</stp>
        <stp>FQ4 2000</stp>
        <stp>[FA1_ivyerigx.xlsx]Bal Sheet - Standardized!R16C12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6" s="3"/>
      </tp>
      <tp>
        <v>2771</v>
        <stp/>
        <stp>##V3_BDHV12</stp>
        <stp>XOM US Equity</stp>
        <stp>BS_ST_BORROW</stp>
        <stp>FQ1 2008</stp>
        <stp>FQ1 2008</stp>
        <stp>[FA1_ivyerigx.xlsx]Bal Sheet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3"/>
      </tp>
      <tp>
        <v>117648</v>
        <stp/>
        <stp>##V3_BDHV12</stp>
        <stp>XOM US Equity</stp>
        <stp>TOTAL_EQUITY</stp>
        <stp>FQ4 2006</stp>
        <stp>FQ4 2006</stp>
        <stp>[FA1_ivyerigx.xlsx]Bal Sheet - Standardized!R48C36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8" s="3"/>
      </tp>
      <tp>
        <v>0.28999999999999998</v>
        <stp/>
        <stp>##V3_BDHV12</stp>
        <stp>XOM US Equity</stp>
        <stp>IS_DIL_EPS_CONT_OPS</stp>
        <stp>FQ3 1998</stp>
        <stp>FQ3 1998</stp>
        <stp>[FA1_ivyerigx.xlsx]Income - Adjusted!R41C3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41" s="2"/>
      </tp>
      <tp>
        <v>0.31</v>
        <stp/>
        <stp>##V3_BDHV12</stp>
        <stp>XOM US Equity</stp>
        <stp>IS_DIL_EPS_CONT_OPS</stp>
        <stp>FQ4 1998</stp>
        <stp>FQ4 1998</stp>
        <stp>[FA1_ivyerigx.xlsx]Income - Adjusted!R41C4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41" s="2"/>
      </tp>
      <tp>
        <v>11930</v>
        <stp/>
        <stp>##V3_BDHV12</stp>
        <stp>XOM US Equity</stp>
        <stp>IS_OPERATING_EXPN</stp>
        <stp>FQ2 2002</stp>
        <stp>FQ2 2002</stp>
        <stp>[FA1_ivyerigx.xlsx]Income - Adjusted!R10C18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0" s="2"/>
      </tp>
      <tp>
        <v>4727</v>
        <stp/>
        <stp>##V3_BDHV12</stp>
        <stp>XOM US Equity</stp>
        <stp>IS_OPERATING_EXPN</stp>
        <stp>FQ2 2008</stp>
        <stp>FQ2 2008</stp>
        <stp>[FA1_ivyerigx.xlsx]Income - Adjusted!R10C42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0" s="2"/>
      </tp>
      <tp>
        <v>-3609</v>
        <stp/>
        <stp>##V3_BDHV12</stp>
        <stp>XOM US Equity</stp>
        <stp>CF_DECR_CAP_STOCK</stp>
        <stp>FQ2 2005</stp>
        <stp>FQ2 2005</stp>
        <stp>[FA1_ivyerigx.xlsx]Cash Flow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4"/>
      </tp>
      <tp>
        <v>-1577</v>
        <stp/>
        <stp>##V3_BDHV12</stp>
        <stp>XOM US Equity</stp>
        <stp>CF_DECR_CAP_STOCK</stp>
        <stp>FQ3 2003</stp>
        <stp>FQ3 2003</stp>
        <stp>[FA1_ivyerigx.xlsx]Cash Flow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4"/>
      </tp>
      <tp>
        <v>-6630</v>
        <stp/>
        <stp>##V3_BDHV12</stp>
        <stp>XOM US Equity</stp>
        <stp>CF_DECR_CAP_STOCK</stp>
        <stp>FQ2 2006</stp>
        <stp>FQ2 2006</stp>
        <stp>[FA1_ivyerigx.xlsx]Cash Flow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4"/>
      </tp>
      <tp>
        <v>-2760</v>
        <stp/>
        <stp>##V3_BDHV12</stp>
        <stp>XOM US Equity</stp>
        <stp>CF_DECR_CAP_STOCK</stp>
        <stp>FQ3 2004</stp>
        <stp>FQ3 2004</stp>
        <stp>[FA1_ivyerigx.xlsx]Cash Flow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4"/>
      </tp>
      <tp>
        <v>-7633</v>
        <stp/>
        <stp>##V3_BDHV12</stp>
        <stp>XOM US Equity</stp>
        <stp>CF_DECR_CAP_STOCK</stp>
        <stp>FQ2 2007</stp>
        <stp>FQ2 2007</stp>
        <stp>[FA1_ivyerigx.xlsx]Cash Flow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4"/>
      </tp>
      <tp>
        <v>14921</v>
        <stp/>
        <stp>##V3_BDHV12</stp>
        <stp>XOM US Equity</stp>
        <stp>IS_OPER_INC</stp>
        <stp>FQ2 2007</stp>
        <stp>FQ2 2007</stp>
        <stp>[FA1_ivyerigx.xlsx]Income - Adjusted!R12C38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2" s="2"/>
      </tp>
      <tp>
        <v>1789</v>
        <stp/>
        <stp>##V3_BDHV12</stp>
        <stp>XOM US Equity</stp>
        <stp>CF_FREE_CASH_FLOW</stp>
        <stp>FQ4 2002</stp>
        <stp>FQ4 2002</stp>
        <stp>[FA1_ivyerigx.xlsx]Cash Flow - Standardized!R46C20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6" s="4"/>
      </tp>
      <tp>
        <v>3245</v>
        <stp/>
        <stp>##V3_BDHV12</stp>
        <stp>XOM US Equity</stp>
        <stp>CF_FREE_CASH_FLOW</stp>
        <stp>FQ4 2003</stp>
        <stp>FQ4 2003</stp>
        <stp>[FA1_ivyerigx.xlsx]Cash Flow - Standardized!R46C24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6" s="4"/>
      </tp>
      <tp>
        <v>8901</v>
        <stp/>
        <stp>##V3_BDHV12</stp>
        <stp>XOM US Equity</stp>
        <stp>CF_FREE_CASH_FLOW</stp>
        <stp>FQ4 2004</stp>
        <stp>FQ4 2004</stp>
        <stp>[FA1_ivyerigx.xlsx]Cash Flow - Standardized!R46C28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6" s="4"/>
      </tp>
      <tp>
        <v>8546</v>
        <stp/>
        <stp>##V3_BDHV12</stp>
        <stp>XOM US Equity</stp>
        <stp>CF_FREE_CASH_FLOW</stp>
        <stp>FQ2 2008</stp>
        <stp>FQ2 2008</stp>
        <stp>[FA1_ivyerigx.xlsx]Cash Flow - Standardized!R46C42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6" s="4"/>
      </tp>
      <tp>
        <v>5916</v>
        <stp/>
        <stp>##V3_BDHV12</stp>
        <stp>XOM US Equity</stp>
        <stp>IS_OPER_INC</stp>
        <stp>FQ4 1999</stp>
        <stp>FQ4 1999</stp>
        <stp>[FA1_ivyerigx.xlsx]Income - Adjusted!R12C8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>
        <v>2.0299999999999998</v>
        <stp/>
        <stp>##V3_BDHV12</stp>
        <stp>XOM US Equity</stp>
        <stp>IS_DIL_EPS_CONT_OPS</stp>
        <stp>FQ1 2008</stp>
        <stp>FQ1 2008</stp>
        <stp>[FA1_ivyerigx.xlsx]Per Share!R19C41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9" s="5"/>
      </tp>
      <tp>
        <v>-1274</v>
        <stp/>
        <stp>##V3_BDHV12</stp>
        <stp>XOM US Equity</stp>
        <stp>OTHER_INS_RES_TO_SHRHLDR_EQY</stp>
        <stp>FQ2 2007</stp>
        <stp>FQ2 2007</stp>
        <stp>[FA1_ivyerigx.xlsx]Bal Sheet - Standardized!R45C38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5" s="3"/>
      </tp>
      <tp>
        <v>849</v>
        <stp/>
        <stp>##V3_BDHV12</stp>
        <stp>XOM US Equity</stp>
        <stp>OTHER_INS_RES_TO_SHRHLDR_EQY</stp>
        <stp>FQ3 2007</stp>
        <stp>FQ3 2007</stp>
        <stp>[FA1_ivyerigx.xlsx]Bal Sheet - Standardized!R45C39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5" s="3"/>
      </tp>
      <tp>
        <v>-742</v>
        <stp/>
        <stp>##V3_BDHV12</stp>
        <stp>XOM US Equity</stp>
        <stp>OTHER_INS_RES_TO_SHRHLDR_EQY</stp>
        <stp>FQ1 2005</stp>
        <stp>FQ1 2005</stp>
        <stp>[FA1_ivyerigx.xlsx]Bal Sheet - Standardized!R45C29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5" s="3"/>
      </tp>
      <tp>
        <v>72</v>
        <stp/>
        <stp>##V3_BDHV12</stp>
        <stp>XOM US Equity</stp>
        <stp>MIN_NONCONTROL_INTEREST_CREDITS</stp>
        <stp>FQ1 2000</stp>
        <stp>FQ1 2000</stp>
        <stp>[FA1_ivyerigx.xlsx]Income - Adjusted!R23C9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3" s="2"/>
      </tp>
      <tp>
        <v>1.3</v>
        <stp/>
        <stp>##V3_BDHV12</stp>
        <stp>XOM US Equity</stp>
        <stp>IS_DIL_EPS_BEF_XO</stp>
        <stp>FQ4 2004</stp>
        <stp>FQ4 2004</stp>
        <stp>[FA1_ivyerigx.xlsx]Income - Adjusted!R40C28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0" s="2"/>
      </tp>
      <tp>
        <v>1.22</v>
        <stp/>
        <stp>##V3_BDHV12</stp>
        <stp>XOM US Equity</stp>
        <stp>IS_DIL_EPS_BEF_XO</stp>
        <stp>FQ1 2005</stp>
        <stp>FQ1 2005</stp>
        <stp>[FA1_ivyerigx.xlsx]Income - Adjusted!R40C29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0" s="2"/>
      </tp>
      <tp>
        <v>3552</v>
        <stp/>
        <stp>##V3_BDHV12</stp>
        <stp>XOM US Equity</stp>
        <stp>NI_INCLUDING_MINORITY_INT_RATIO</stp>
        <stp>FQ1 2000</stp>
        <stp>FQ1 2000</stp>
        <stp>[FA1_ivyerigx.xlsx]Income - Adjusted!R22C9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I22" s="2"/>
      </tp>
      <tp>
        <v>35.3125</v>
        <stp/>
        <stp>##V3_BDHV12</stp>
        <stp>XOM US Equity</stp>
        <stp>PX_LAST</stp>
        <stp>FQ3 1998</stp>
        <stp>FQ3 1998</stp>
        <stp>[FA1_ivyerigx.xlsx]Stock Value!R6C3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" s="6"/>
      </tp>
      <tp>
        <v>995</v>
        <stp/>
        <stp>##V3_BDHV12</stp>
        <stp>XOM US Equity</stp>
        <stp>IS_TOT_CASH_COM_DVD</stp>
        <stp>FQ3 1999</stp>
        <stp>FQ3 1999</stp>
        <stp>[FA1_ivyerigx.xlsx]Income - Adjusted!R54C7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4" s="2"/>
      </tp>
      <tp>
        <v>997</v>
        <stp/>
        <stp>##V3_BDHV12</stp>
        <stp>XOM US Equity</stp>
        <stp>IS_TOT_CASH_COM_DVD</stp>
        <stp>FQ3 1998</stp>
        <stp>FQ3 1998</stp>
        <stp>[FA1_ivyerigx.xlsx]Income - Adjusted!R54C3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4" s="2"/>
      </tp>
      <tp>
        <v>124826</v>
        <stp/>
        <stp>##V3_BDHV12</stp>
        <stp>XOM US Equity</stp>
        <stp>TOTAL_EQUITY</stp>
        <stp>FQ2 2008</stp>
        <stp>FQ2 2008</stp>
        <stp>[FA1_ivyerigx.xlsx]Bal Sheet - Standardized!R48C42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8" s="3"/>
      </tp>
      <tp>
        <v>105708</v>
        <stp/>
        <stp>##V3_BDHV12</stp>
        <stp>XOM US Equity</stp>
        <stp>TOTAL_EQUITY</stp>
        <stp>FQ4 2004</stp>
        <stp>FQ4 2004</stp>
        <stp>[FA1_ivyerigx.xlsx]Bal Sheet - Standardized!R48C28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8" s="3"/>
      </tp>
      <tp t="s">
        <v>—</v>
        <stp/>
        <stp>##V3_BDHV12</stp>
        <stp>XOM US Equity</stp>
        <stp>IS_FOREIGN_EXCH_LOSS</stp>
        <stp>FQ1 2005</stp>
        <stp>FQ1 2005</stp>
        <stp>[FA1_ivyerigx.xlsx]Income - Adjusted!R15C29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5" s="2"/>
      </tp>
      <tp>
        <v>69</v>
        <stp/>
        <stp>##V3_BDHV12</stp>
        <stp>XOM US Equity</stp>
        <stp>IS_FOREIGN_EXCH_LOSS</stp>
        <stp>FQ4 2004</stp>
        <stp>FQ4 2004</stp>
        <stp>[FA1_ivyerigx.xlsx]Income - Adjusted!R15C28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5" s="2"/>
      </tp>
      <tp>
        <v>93297</v>
        <stp/>
        <stp>##V3_BDHV12</stp>
        <stp>XOM US Equity</stp>
        <stp>TOTAL_EQUITY</stp>
        <stp>FQ4 2003</stp>
        <stp>FQ4 2003</stp>
        <stp>[FA1_ivyerigx.xlsx]Bal Sheet - Standardized!R48C24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8" s="3"/>
      </tp>
      <tp>
        <v>1.74</v>
        <stp/>
        <stp>##V3_BDHV12</stp>
        <stp>XOM US Equity</stp>
        <stp>IS_EARN_BEF_XO_ITEMS_PER_SH</stp>
        <stp>FQ2 2006</stp>
        <stp>FQ2 2006</stp>
        <stp>[FA1_ivyerigx.xlsx]Income - Adjusted!R35C34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35" s="2"/>
      </tp>
      <tp>
        <v>0.89</v>
        <stp/>
        <stp>##V3_BDHV12</stp>
        <stp>XOM US Equity</stp>
        <stp>IS_EARN_BEF_XO_ITEMS_PER_SH</stp>
        <stp>FQ2 2004</stp>
        <stp>FQ2 2004</stp>
        <stp>[FA1_ivyerigx.xlsx]Income - Adjusted!R35C26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35" s="2"/>
      </tp>
      <tp>
        <v>0.97</v>
        <stp/>
        <stp>##V3_BDHV12</stp>
        <stp>XOM US Equity</stp>
        <stp>IS_EARN_BEF_XO_ITEMS_PER_SH</stp>
        <stp>FQ1 2003</stp>
        <stp>FQ1 2003</stp>
        <stp>[FA1_ivyerigx.xlsx]Income - Adjusted!R35C21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35" s="2"/>
      </tp>
      <tp>
        <v>0.71</v>
        <stp/>
        <stp>##V3_BDHV12</stp>
        <stp>XOM US Equity</stp>
        <stp>IS_EARN_BEF_XO_ITEMS_PER_SH</stp>
        <stp>FQ1 2001</stp>
        <stp>FQ1 2001</stp>
        <stp>[FA1_ivyerigx.xlsx]Income - Adjusted!R35C13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35" s="2"/>
      </tp>
      <tp>
        <v>0.54</v>
        <stp/>
        <stp>##V3_BDHV12</stp>
        <stp>XOM US Equity</stp>
        <stp>IS_EARN_BEF_XO_ITEMS_PER_SH</stp>
        <stp>FQ4 2002</stp>
        <stp>FQ4 2002</stp>
        <stp>[FA1_ivyerigx.xlsx]Income - Adjusted!R35C20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35" s="2"/>
      </tp>
      <tp>
        <v>0.76</v>
        <stp/>
        <stp>##V3_BDHV12</stp>
        <stp>XOM US Equity</stp>
        <stp>IS_EARN_BEF_XO_ITEMS_PER_SH</stp>
        <stp>FQ4 2000</stp>
        <stp>FQ4 2000</stp>
        <stp>[FA1_ivyerigx.xlsx]Income - Adjusted!R35C12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35" s="2"/>
      </tp>
      <tp>
        <v>77365</v>
        <stp/>
        <stp>##V3_BDHV12</stp>
        <stp>XOM US Equity</stp>
        <stp>TOTAL_EQUITY</stp>
        <stp>FQ4 2002</stp>
        <stp>FQ4 2002</stp>
        <stp>[FA1_ivyerigx.xlsx]Bal Sheet - Standardized!R48C20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8" s="3"/>
      </tp>
      <tp>
        <v>2128</v>
        <stp/>
        <stp>##V3_BDHV12</stp>
        <stp>XOM US Equity</stp>
        <stp>OTHER_CURRENT_ASSETS_DETAILED</stp>
        <stp>FQ1 2000</stp>
        <stp>FQ1 2000</stp>
        <stp>[FA1_ivyerigx.xlsx]Bal Sheet - Standardized!R17C9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11377</v>
        <stp/>
        <stp>##V3_BDHV12</stp>
        <stp>XOM US Equity</stp>
        <stp>IS_OPERATING_EXPN</stp>
        <stp>FQ3 2002</stp>
        <stp>FQ3 2002</stp>
        <stp>[FA1_ivyerigx.xlsx]Income - Adjusted!R10C19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0" s="2"/>
      </tp>
      <tp>
        <v>-1396</v>
        <stp/>
        <stp>##V3_BDHV12</stp>
        <stp>XOM US Equity</stp>
        <stp>CF_DECR_CAP_STOCK</stp>
        <stp>FQ4 2002</stp>
        <stp>FQ4 2002</stp>
        <stp>[FA1_ivyerigx.xlsx]Cash Flow - Standardized!R32C20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2" s="4"/>
      </tp>
      <tp>
        <v>-2093</v>
        <stp/>
        <stp>##V3_BDHV12</stp>
        <stp>XOM US Equity</stp>
        <stp>CF_DECR_CAP_STOCK</stp>
        <stp>FQ4 2003</stp>
        <stp>FQ4 2003</stp>
        <stp>[FA1_ivyerigx.xlsx]Cash Flow - Standardized!R32C24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2" s="4"/>
      </tp>
      <tp>
        <v>-3716</v>
        <stp/>
        <stp>##V3_BDHV12</stp>
        <stp>XOM US Equity</stp>
        <stp>CF_DECR_CAP_STOCK</stp>
        <stp>FQ4 2004</stp>
        <stp>FQ4 2004</stp>
        <stp>[FA1_ivyerigx.xlsx]Cash Flow - Standardized!R32C28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2" s="4"/>
      </tp>
      <tp>
        <v>-8761</v>
        <stp/>
        <stp>##V3_BDHV12</stp>
        <stp>XOM US Equity</stp>
        <stp>CF_DECR_CAP_STOCK</stp>
        <stp>FQ2 2008</stp>
        <stp>FQ2 2008</stp>
        <stp>[FA1_ivyerigx.xlsx]Cash Flow - Standardized!R32C42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2" s="4"/>
      </tp>
      <tp>
        <v>5278</v>
        <stp/>
        <stp>##V3_BDHV12</stp>
        <stp>XOM US Equity</stp>
        <stp>CF_FREE_CASH_FLOW</stp>
        <stp>FQ2 2005</stp>
        <stp>FQ2 2005</stp>
        <stp>[FA1_ivyerigx.xlsx]Cash Flow - Standardized!R46C30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6" s="4"/>
      </tp>
      <tp>
        <v>6616</v>
        <stp/>
        <stp>##V3_BDHV12</stp>
        <stp>XOM US Equity</stp>
        <stp>CF_FREE_CASH_FLOW</stp>
        <stp>FQ3 2004</stp>
        <stp>FQ3 2004</stp>
        <stp>[FA1_ivyerigx.xlsx]Cash Flow - Standardized!R46C27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6" s="4"/>
      </tp>
      <tp>
        <v>7046</v>
        <stp/>
        <stp>##V3_BDHV12</stp>
        <stp>XOM US Equity</stp>
        <stp>CF_FREE_CASH_FLOW</stp>
        <stp>FQ2 2006</stp>
        <stp>FQ2 2006</stp>
        <stp>[FA1_ivyerigx.xlsx]Cash Flow - Standardized!R46C34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6" s="4"/>
      </tp>
      <tp>
        <v>2631</v>
        <stp/>
        <stp>##V3_BDHV12</stp>
        <stp>XOM US Equity</stp>
        <stp>CF_FREE_CASH_FLOW</stp>
        <stp>FQ3 2003</stp>
        <stp>FQ3 2003</stp>
        <stp>[FA1_ivyerigx.xlsx]Cash Flow - Standardized!R46C23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6" s="4"/>
      </tp>
      <tp>
        <v>7532</v>
        <stp/>
        <stp>##V3_BDHV12</stp>
        <stp>XOM US Equity</stp>
        <stp>CF_FREE_CASH_FLOW</stp>
        <stp>FQ2 2007</stp>
        <stp>FQ2 2007</stp>
        <stp>[FA1_ivyerigx.xlsx]Cash Flow - Standardized!R46C38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6" s="4"/>
      </tp>
      <tp>
        <v>347</v>
        <stp/>
        <stp>##V3_BDHV12</stp>
        <stp>XOM US Equity</stp>
        <stp>CF_CASH_PAID_FOR_TAX</stp>
        <stp>FQ1 1999</stp>
        <stp>FQ1 1999</stp>
        <stp>[FA1_ivyerigx.xlsx]Cash Flow - Standardized!R38C5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8" s="4"/>
      </tp>
      <tp>
        <v>419</v>
        <stp/>
        <stp>##V3_BDHV12</stp>
        <stp>XOM US Equity</stp>
        <stp>CF_CASH_PAID_FOR_TAX</stp>
        <stp>FQ2 1999</stp>
        <stp>FQ2 1999</stp>
        <stp>[FA1_ivyerigx.xlsx]Cash Flow - Standardized!R38C6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8" s="4"/>
      </tp>
      <tp>
        <v>403</v>
        <stp/>
        <stp>##V3_BDHV12</stp>
        <stp>XOM US Equity</stp>
        <stp>CF_CASH_PAID_FOR_TAX</stp>
        <stp>FQ3 1999</stp>
        <stp>FQ3 1999</stp>
        <stp>[FA1_ivyerigx.xlsx]Cash Flow - Standardized!R38C7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8" s="4"/>
      </tp>
      <tp>
        <v>385</v>
        <stp/>
        <stp>##V3_BDHV12</stp>
        <stp>XOM US Equity</stp>
        <stp>OTHER_INVESTING_ACT_DETAILED</stp>
        <stp>FQ1 1999</stp>
        <stp>FQ1 1999</stp>
        <stp>[FA1_ivyerigx.xlsx]Cash Flow - Standardized!R24C5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4" s="4"/>
      </tp>
      <tp>
        <v>-198</v>
        <stp/>
        <stp>##V3_BDHV12</stp>
        <stp>XOM US Equity</stp>
        <stp>OTHER_INVESTING_ACT_DETAILED</stp>
        <stp>FQ3 1999</stp>
        <stp>FQ3 1999</stp>
        <stp>[FA1_ivyerigx.xlsx]Cash Flow - Standardized!R24C7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4" s="4"/>
      </tp>
      <tp>
        <v>-115</v>
        <stp/>
        <stp>##V3_BDHV12</stp>
        <stp>XOM US Equity</stp>
        <stp>OTHER_INVESTING_ACT_DETAILED</stp>
        <stp>FQ2 1999</stp>
        <stp>FQ2 1999</stp>
        <stp>[FA1_ivyerigx.xlsx]Cash Flow - Standardized!R24C6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4" s="4"/>
      </tp>
      <tp>
        <v>2902</v>
        <stp/>
        <stp>##V3_BDHV12</stp>
        <stp>XOM US Equity</stp>
        <stp>CF_CASH_PAID_FOR_TAX</stp>
        <stp>FQ4 1998</stp>
        <stp>FQ4 1998</stp>
        <stp>[FA1_ivyerigx.xlsx]Cash Flow - Standardized!R38C4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8" s="4"/>
      </tp>
      <tp t="s">
        <v>—</v>
        <stp/>
        <stp>##V3_BDHV12</stp>
        <stp>XOM US Equity</stp>
        <stp>CF_CASH_PAID_FOR_TAX</stp>
        <stp>FQ3 1998</stp>
        <stp>FQ3 1998</stp>
        <stp>[FA1_ivyerigx.xlsx]Cash Flow - Standardized!R38C3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8" s="4"/>
      </tp>
      <tp>
        <v>-380</v>
        <stp/>
        <stp>##V3_BDHV12</stp>
        <stp>XOM US Equity</stp>
        <stp>OTHER_INVESTING_ACT_DETAILED</stp>
        <stp>FQ3 1998</stp>
        <stp>FQ3 1998</stp>
        <stp>[FA1_ivyerigx.xlsx]Cash Flow - Standardized!R24C3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4" s="4"/>
      </tp>
      <tp>
        <v>462</v>
        <stp/>
        <stp>##V3_BDHV12</stp>
        <stp>XOM US Equity</stp>
        <stp>OTHER_INVESTING_ACT_DETAILED</stp>
        <stp>FQ4 1998</stp>
        <stp>FQ4 1998</stp>
        <stp>[FA1_ivyerigx.xlsx]Cash Flow - Standardized!R24C4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4" s="4"/>
      </tp>
      <tp>
        <v>2.25</v>
        <stp/>
        <stp>##V3_BDHV12</stp>
        <stp>XOM US Equity</stp>
        <stp>IS_EPS</stp>
        <stp>FQ2 2008</stp>
        <stp>FQ2 2008</stp>
        <stp>[FA1_ivyerigx.xlsx]Income - Adjusted!R34C42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34" s="2"/>
      </tp>
      <tp>
        <v>0.4</v>
        <stp/>
        <stp>##V3_BDHV12</stp>
        <stp>XOM US Equity</stp>
        <stp>IS_EPS</stp>
        <stp>FQ2 2002</stp>
        <stp>FQ2 2002</stp>
        <stp>[FA1_ivyerigx.xlsx]Income - Adjusted!R34C18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34" s="2"/>
      </tp>
      <tp>
        <v>0.66</v>
        <stp/>
        <stp>##V3_BDHV12</stp>
        <stp>XOM US Equity</stp>
        <stp>IS_EPS</stp>
        <stp>FQ2 2000</stp>
        <stp>FQ2 2000</stp>
        <stp>[FA1_ivyerigx.xlsx]Income - Adjusted!R34C10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34" s="2"/>
      </tp>
      <tp>
        <v>0.63</v>
        <stp/>
        <stp>##V3_BDHV12</stp>
        <stp>XOM US Equity</stp>
        <stp>IS_EPS</stp>
        <stp>FQ2 2003</stp>
        <stp>FQ2 2003</stp>
        <stp>[FA1_ivyerigx.xlsx]Income - Adjusted!R34C22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34" s="2"/>
      </tp>
      <tp>
        <v>0.66</v>
        <stp/>
        <stp>##V3_BDHV12</stp>
        <stp>XOM US Equity</stp>
        <stp>IS_EPS</stp>
        <stp>FQ2 2001</stp>
        <stp>FQ2 2001</stp>
        <stp>[FA1_ivyerigx.xlsx]Income - Adjusted!R34C14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34" s="2"/>
      </tp>
      <tp>
        <v>0.89</v>
        <stp/>
        <stp>##V3_BDHV12</stp>
        <stp>XOM US Equity</stp>
        <stp>IS_EPS</stp>
        <stp>FQ2 2004</stp>
        <stp>FQ2 2004</stp>
        <stp>[FA1_ivyerigx.xlsx]Income - Adjusted!R34C26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34" s="2"/>
      </tp>
      <tp>
        <v>1.21</v>
        <stp/>
        <stp>##V3_BDHV12</stp>
        <stp>XOM US Equity</stp>
        <stp>IS_EPS</stp>
        <stp>FQ2 2005</stp>
        <stp>FQ2 2005</stp>
        <stp>[FA1_ivyerigx.xlsx]Income - Adjusted!R34C30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34" s="2"/>
      </tp>
      <tp>
        <v>1.74</v>
        <stp/>
        <stp>##V3_BDHV12</stp>
        <stp>XOM US Equity</stp>
        <stp>IS_EPS</stp>
        <stp>FQ2 2006</stp>
        <stp>FQ2 2006</stp>
        <stp>[FA1_ivyerigx.xlsx]Income - Adjusted!R34C34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34" s="2"/>
      </tp>
      <tp>
        <v>1.85</v>
        <stp/>
        <stp>##V3_BDHV12</stp>
        <stp>XOM US Equity</stp>
        <stp>IS_EPS</stp>
        <stp>FQ2 2007</stp>
        <stp>FQ2 2007</stp>
        <stp>[FA1_ivyerigx.xlsx]Income - Adjusted!R34C38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34" s="2"/>
      </tp>
      <tp>
        <v>2636</v>
        <stp/>
        <stp>##V3_BDHV12</stp>
        <stp>XOM US Equity</stp>
        <stp>CF_CASH_PAID_FOR_TAX</stp>
        <stp>FQ4 1999</stp>
        <stp>FQ4 1999</stp>
        <stp>[FA1_ivyerigx.xlsx]Cash Flow - Standardized!R38C8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8" s="4"/>
      </tp>
      <tp>
        <v>-1062</v>
        <stp/>
        <stp>##V3_BDHV12</stp>
        <stp>XOM US Equity</stp>
        <stp>OTHER_INVESTING_ACT_DETAILED</stp>
        <stp>FQ4 1999</stp>
        <stp>FQ4 1999</stp>
        <stp>[FA1_ivyerigx.xlsx]Cash Flow - Standardized!R24C8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4" s="4"/>
      </tp>
      <tp>
        <v>0.39</v>
        <stp/>
        <stp>##V3_BDHV12</stp>
        <stp>XOM US Equity</stp>
        <stp>IS_EPS</stp>
        <stp>FQ3 2002</stp>
        <stp>FQ3 2002</stp>
        <stp>[FA1_ivyerigx.xlsx]Income - Adjusted!R34C19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34" s="2"/>
      </tp>
      <tp>
        <v>0.46</v>
        <stp/>
        <stp>##V3_BDHV12</stp>
        <stp>XOM US Equity</stp>
        <stp>IS_EPS</stp>
        <stp>FQ3 2001</stp>
        <stp>FQ3 2001</stp>
        <stp>[FA1_ivyerigx.xlsx]Income - Adjusted!R34C15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34" s="2"/>
      </tp>
      <tp>
        <v>0.55000000000000004</v>
        <stp/>
        <stp>##V3_BDHV12</stp>
        <stp>XOM US Equity</stp>
        <stp>IS_EPS</stp>
        <stp>FQ3 2003</stp>
        <stp>FQ3 2003</stp>
        <stp>[FA1_ivyerigx.xlsx]Income - Adjusted!R34C23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34" s="2"/>
      </tp>
      <tp>
        <v>0.63</v>
        <stp/>
        <stp>##V3_BDHV12</stp>
        <stp>XOM US Equity</stp>
        <stp>IS_EPS</stp>
        <stp>FQ3 2000</stp>
        <stp>FQ3 2000</stp>
        <stp>[FA1_ivyerigx.xlsx]Income - Adjusted!R34C11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34" s="2"/>
      </tp>
      <tp>
        <v>0.88</v>
        <stp/>
        <stp>##V3_BDHV12</stp>
        <stp>XOM US Equity</stp>
        <stp>IS_EPS</stp>
        <stp>FQ3 2004</stp>
        <stp>FQ3 2004</stp>
        <stp>[FA1_ivyerigx.xlsx]Income - Adjusted!R34C27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34" s="2"/>
      </tp>
      <tp>
        <v>1.6</v>
        <stp/>
        <stp>##V3_BDHV12</stp>
        <stp>XOM US Equity</stp>
        <stp>IS_EPS</stp>
        <stp>FQ3 2005</stp>
        <stp>FQ3 2005</stp>
        <stp>[FA1_ivyerigx.xlsx]Income - Adjusted!R34C31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34" s="2"/>
      </tp>
      <tp>
        <v>1.72</v>
        <stp/>
        <stp>##V3_BDHV12</stp>
        <stp>XOM US Equity</stp>
        <stp>IS_EPS</stp>
        <stp>FQ3 2007</stp>
        <stp>FQ3 2007</stp>
        <stp>[FA1_ivyerigx.xlsx]Income - Adjusted!R34C39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34" s="2"/>
      </tp>
      <tp>
        <v>1.79</v>
        <stp/>
        <stp>##V3_BDHV12</stp>
        <stp>XOM US Equity</stp>
        <stp>IS_EPS</stp>
        <stp>FQ3 2006</stp>
        <stp>FQ3 2006</stp>
        <stp>[FA1_ivyerigx.xlsx]Income - Adjusted!R34C35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34" s="2"/>
      </tp>
      <tp>
        <v>2.0499999999999998</v>
        <stp/>
        <stp>##V3_BDHV12</stp>
        <stp>XOM US Equity</stp>
        <stp>IS_EPS</stp>
        <stp>FQ1 2008</stp>
        <stp>FQ1 2008</stp>
        <stp>[FA1_ivyerigx.xlsx]Income - Adjusted!R34C41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34" s="2"/>
      </tp>
      <tp>
        <v>0.72</v>
        <stp/>
        <stp>##V3_BDHV12</stp>
        <stp>XOM US Equity</stp>
        <stp>IS_EPS</stp>
        <stp>FQ1 2001</stp>
        <stp>FQ1 2001</stp>
        <stp>[FA1_ivyerigx.xlsx]Income - Adjusted!R34C13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34" s="2"/>
      </tp>
      <tp>
        <v>1.05</v>
        <stp/>
        <stp>##V3_BDHV12</stp>
        <stp>XOM US Equity</stp>
        <stp>IS_EPS</stp>
        <stp>FQ1 2003</stp>
        <stp>FQ1 2003</stp>
        <stp>[FA1_ivyerigx.xlsx]Income - Adjusted!R34C21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34" s="2"/>
      </tp>
      <tp>
        <v>0.3</v>
        <stp/>
        <stp>##V3_BDHV12</stp>
        <stp>XOM US Equity</stp>
        <stp>IS_EPS</stp>
        <stp>FQ1 2002</stp>
        <stp>FQ1 2002</stp>
        <stp>[FA1_ivyerigx.xlsx]Income - Adjusted!R34C17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34" s="2"/>
      </tp>
      <tp>
        <v>1.6400000000000001</v>
        <stp/>
        <stp>##V3_BDHV12</stp>
        <stp>XOM US Equity</stp>
        <stp>IS_EPS</stp>
        <stp>FQ1 2007</stp>
        <stp>FQ1 2007</stp>
        <stp>[FA1_ivyerigx.xlsx]Income - Adjusted!R34C37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34" s="2"/>
      </tp>
      <tp>
        <v>1.38</v>
        <stp/>
        <stp>##V3_BDHV12</stp>
        <stp>XOM US Equity</stp>
        <stp>IS_EPS</stp>
        <stp>FQ1 2006</stp>
        <stp>FQ1 2006</stp>
        <stp>[FA1_ivyerigx.xlsx]Income - Adjusted!R34C33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34" s="2"/>
      </tp>
      <tp>
        <v>0.83</v>
        <stp/>
        <stp>##V3_BDHV12</stp>
        <stp>XOM US Equity</stp>
        <stp>IS_EPS</stp>
        <stp>FQ1 2004</stp>
        <stp>FQ1 2004</stp>
        <stp>[FA1_ivyerigx.xlsx]Income - Adjusted!R34C25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34" s="2"/>
      </tp>
      <tp>
        <v>1.23</v>
        <stp/>
        <stp>##V3_BDHV12</stp>
        <stp>XOM US Equity</stp>
        <stp>IS_EPS</stp>
        <stp>FQ1 2005</stp>
        <stp>FQ1 2005</stp>
        <stp>[FA1_ivyerigx.xlsx]Income - Adjusted!R34C29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34" s="2"/>
      </tp>
      <tp>
        <v>1.77</v>
        <stp/>
        <stp>##V3_BDHV12</stp>
        <stp>XOM US Equity</stp>
        <stp>IS_EPS</stp>
        <stp>FQ4 2006</stp>
        <stp>FQ4 2006</stp>
        <stp>[FA1_ivyerigx.xlsx]Income - Adjusted!R34C36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34" s="2"/>
      </tp>
      <tp>
        <v>1.72</v>
        <stp/>
        <stp>##V3_BDHV12</stp>
        <stp>XOM US Equity</stp>
        <stp>IS_EPS</stp>
        <stp>FQ4 2005</stp>
        <stp>FQ4 2005</stp>
        <stp>[FA1_ivyerigx.xlsx]Income - Adjusted!R34C32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34" s="2"/>
      </tp>
      <tp>
        <v>1.31</v>
        <stp/>
        <stp>##V3_BDHV12</stp>
        <stp>XOM US Equity</stp>
        <stp>IS_EPS</stp>
        <stp>FQ4 2004</stp>
        <stp>FQ4 2004</stp>
        <stp>[FA1_ivyerigx.xlsx]Income - Adjusted!R34C28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34" s="2"/>
      </tp>
      <tp>
        <v>0.76</v>
        <stp/>
        <stp>##V3_BDHV12</stp>
        <stp>XOM US Equity</stp>
        <stp>IS_EPS</stp>
        <stp>FQ4 2000</stp>
        <stp>FQ4 2000</stp>
        <stp>[FA1_ivyerigx.xlsx]Income - Adjusted!R34C12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34" s="2"/>
      </tp>
      <tp>
        <v>1.01</v>
        <stp/>
        <stp>##V3_BDHV12</stp>
        <stp>XOM US Equity</stp>
        <stp>IS_EPS</stp>
        <stp>FQ4 2003</stp>
        <stp>FQ4 2003</stp>
        <stp>[FA1_ivyerigx.xlsx]Income - Adjusted!R34C24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34" s="2"/>
      </tp>
      <tp>
        <v>0.6</v>
        <stp/>
        <stp>##V3_BDHV12</stp>
        <stp>XOM US Equity</stp>
        <stp>IS_EPS</stp>
        <stp>FQ4 2002</stp>
        <stp>FQ4 2002</stp>
        <stp>[FA1_ivyerigx.xlsx]Income - Adjusted!R34C20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34" s="2"/>
      </tp>
      <tp>
        <v>0.39</v>
        <stp/>
        <stp>##V3_BDHV12</stp>
        <stp>XOM US Equity</stp>
        <stp>IS_EPS</stp>
        <stp>FQ4 2001</stp>
        <stp>FQ4 2001</stp>
        <stp>[FA1_ivyerigx.xlsx]Income - Adjusted!R34C16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34" s="2"/>
      </tp>
      <tp>
        <v>2.15</v>
        <stp/>
        <stp>##V3_BDHV12</stp>
        <stp>XOM US Equity</stp>
        <stp>IS_EPS</stp>
        <stp>FQ4 2007</stp>
        <stp>FQ4 2007</stp>
        <stp>[FA1_ivyerigx.xlsx]Income - Adjusted!R34C40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34" s="2"/>
      </tp>
      <tp>
        <v>1.7</v>
        <stp/>
        <stp>##V3_BDHV12</stp>
        <stp>XOM US Equity</stp>
        <stp>IS_DIL_EPS_CONT_OPS</stp>
        <stp>FQ3 2007</stp>
        <stp>FQ3 2007</stp>
        <stp>[FA1_ivyerigx.xlsx]Per Share!R19C39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9" s="5"/>
      </tp>
      <tp>
        <v>0.39</v>
        <stp/>
        <stp>##V3_BDHV12</stp>
        <stp>XOM US Equity</stp>
        <stp>IS_DIL_EPS_BEF_XO</stp>
        <stp>FQ3 2002</stp>
        <stp>FQ3 2002</stp>
        <stp>[FA1_ivyerigx.xlsx]Income - Adjusted!R40C19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0" s="2"/>
      </tp>
      <tp>
        <v>36.5625</v>
        <stp/>
        <stp>##V3_BDHV12</stp>
        <stp>XOM US Equity</stp>
        <stp>PX_LAST</stp>
        <stp>FQ4 1998</stp>
        <stp>FQ4 1998</stp>
        <stp>[FA1_ivyerigx.xlsx]Stock Value!R6C4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" s="6"/>
      </tp>
      <tp>
        <v>35.281300000000002</v>
        <stp/>
        <stp>##V3_BDHV12</stp>
        <stp>XOM US Equity</stp>
        <stp>PX_LAST</stp>
        <stp>FQ1 1999</stp>
        <stp>FQ1 1999</stp>
        <stp>[FA1_ivyerigx.xlsx]Stock Value!R6C5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" s="6"/>
      </tp>
      <tp>
        <v>996</v>
        <stp/>
        <stp>##V3_BDHV12</stp>
        <stp>XOM US Equity</stp>
        <stp>IS_TOT_CASH_COM_DVD</stp>
        <stp>FQ4 1998</stp>
        <stp>FQ4 1998</stp>
        <stp>[FA1_ivyerigx.xlsx]Income - Adjusted!R54C4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4" s="2"/>
      </tp>
      <tp>
        <v>1511</v>
        <stp/>
        <stp>##V3_BDHV12</stp>
        <stp>XOM US Equity</stp>
        <stp>IS_TOT_CASH_COM_DVD</stp>
        <stp>FQ4 1999</stp>
        <stp>FQ4 1999</stp>
        <stp>[FA1_ivyerigx.xlsx]Income - Adjusted!R54C8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4" s="2"/>
      </tp>
      <tp>
        <v>14921</v>
        <stp/>
        <stp>##V3_BDHV12</stp>
        <stp>XOM US Equity</stp>
        <stp>EBIT</stp>
        <stp>FQ2 2007</stp>
        <stp>FQ2 2007</stp>
        <stp>[FA1_ivyerigx.xlsx]Income - Adjusted!R48C38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48" s="2"/>
      </tp>
      <tp>
        <v>3890</v>
        <stp/>
        <stp>##V3_BDHV12</stp>
        <stp>XOM US Equity</stp>
        <stp>BS_ST_BORROW</stp>
        <stp>FQ2 2001</stp>
        <stp>FQ2 2001</stp>
        <stp>[FA1_ivyerigx.xlsx]Bal Sheet - Standardized!R32C14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2" s="3"/>
      </tp>
      <tp>
        <v>0</v>
        <stp/>
        <stp>##V3_BDHV12</stp>
        <stp>XOM US Equity</stp>
        <stp>BS_OTHER_INV</stp>
        <stp>FQ2 2002</stp>
        <stp>FQ2 2002</stp>
        <stp>[FA1_ivyerigx.xlsx]Bal Sheet - Standardized!R16C18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6" s="3"/>
      </tp>
      <tp t="s">
        <v>—</v>
        <stp/>
        <stp>##V3_BDHV12</stp>
        <stp>XOM US Equity</stp>
        <stp>IS_FOREIGN_EXCH_LOSS</stp>
        <stp>FQ3 2002</stp>
        <stp>FQ3 2002</stp>
        <stp>[FA1_ivyerigx.xlsx]Income - Adjusted!R15C19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5" s="2"/>
      </tp>
      <tp>
        <v>4834</v>
        <stp/>
        <stp>##V3_BDHV12</stp>
        <stp>XOM US Equity</stp>
        <stp>BS_ST_BORROW</stp>
        <stp>FQ1 2004</stp>
        <stp>FQ1 2004</stp>
        <stp>[FA1_ivyerigx.xlsx]Bal Sheet - Standardized!R32C25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2" s="3"/>
      </tp>
      <tp>
        <v>4172</v>
        <stp/>
        <stp>##V3_BDHV12</stp>
        <stp>XOM US Equity</stp>
        <stp>BS_ST_BORROW</stp>
        <stp>FQ1 2003</stp>
        <stp>FQ1 2003</stp>
        <stp>[FA1_ivyerigx.xlsx]Bal Sheet - Standardized!R32C21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2" s="3"/>
      </tp>
      <tp>
        <v>116350</v>
        <stp/>
        <stp>##V3_BDHV12</stp>
        <stp>XOM US Equity</stp>
        <stp>TOTAL_EQUITY</stp>
        <stp>FQ2 2007</stp>
        <stp>FQ2 2007</stp>
        <stp>[FA1_ivyerigx.xlsx]Bal Sheet - Standardized!R48C38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8" s="3"/>
      </tp>
      <tp>
        <v>6617</v>
        <stp/>
        <stp>##V3_BDHV12</stp>
        <stp>XOM US Equity</stp>
        <stp>BS_ST_BORROW</stp>
        <stp>FQ2 2000</stp>
        <stp>FQ2 2000</stp>
        <stp>[FA1_ivyerigx.xlsx]Bal Sheet - Standardized!R32C10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2" s="3"/>
      </tp>
      <tp>
        <v>0</v>
        <stp/>
        <stp>##V3_BDHV12</stp>
        <stp>XOM US Equity</stp>
        <stp>BS_OTHER_INV</stp>
        <stp>FQ1 2005</stp>
        <stp>FQ1 2005</stp>
        <stp>[FA1_ivyerigx.xlsx]Bal Sheet - Standardized!R16C29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6" s="3"/>
      </tp>
      <tp>
        <v>3309</v>
        <stp/>
        <stp>##V3_BDHV12</stp>
        <stp>XOM US Equity</stp>
        <stp>BS_ST_BORROW</stp>
        <stp>FQ1 2005</stp>
        <stp>FQ1 2005</stp>
        <stp>[FA1_ivyerigx.xlsx]Bal Sheet - Standardized!R32C29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2" s="3"/>
      </tp>
      <tp>
        <v>0</v>
        <stp/>
        <stp>##V3_BDHV12</stp>
        <stp>XOM US Equity</stp>
        <stp>BS_OTHER_INV</stp>
        <stp>FQ2 2000</stp>
        <stp>FQ2 2000</stp>
        <stp>[FA1_ivyerigx.xlsx]Bal Sheet - Standardized!R16C10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6" s="3"/>
      </tp>
      <tp>
        <v>83764</v>
        <stp/>
        <stp>##V3_BDHV12</stp>
        <stp>XOM US Equity</stp>
        <stp>TOTAL_EQUITY</stp>
        <stp>FQ3 2003</stp>
        <stp>FQ3 2003</stp>
        <stp>[FA1_ivyerigx.xlsx]Bal Sheet - Standardized!R48C23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8" s="3"/>
      </tp>
      <tp>
        <v>0</v>
        <stp/>
        <stp>##V3_BDHV12</stp>
        <stp>XOM US Equity</stp>
        <stp>BS_OTHER_INV</stp>
        <stp>FQ1 2003</stp>
        <stp>FQ1 2003</stp>
        <stp>[FA1_ivyerigx.xlsx]Bal Sheet - Standardized!R16C21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6" s="3"/>
      </tp>
      <tp>
        <v>0</v>
        <stp/>
        <stp>##V3_BDHV12</stp>
        <stp>XOM US Equity</stp>
        <stp>BS_OTHER_INV</stp>
        <stp>FQ1 2004</stp>
        <stp>FQ1 2004</stp>
        <stp>[FA1_ivyerigx.xlsx]Bal Sheet - Standardized!R16C25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6" s="3"/>
      </tp>
      <tp>
        <v>0.64</v>
        <stp/>
        <stp>##V3_BDHV12</stp>
        <stp>XOM US Equity</stp>
        <stp>IS_EARN_BEF_XO_ITEMS_PER_SH</stp>
        <stp>FQ2 2001</stp>
        <stp>FQ2 2001</stp>
        <stp>[FA1_ivyerigx.xlsx]Income - Adjusted!R35C14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35" s="2"/>
      </tp>
      <tp>
        <v>1.21</v>
        <stp/>
        <stp>##V3_BDHV12</stp>
        <stp>XOM US Equity</stp>
        <stp>IS_EARN_BEF_XO_ITEMS_PER_SH</stp>
        <stp>FQ2 2005</stp>
        <stp>FQ2 2005</stp>
        <stp>[FA1_ivyerigx.xlsx]Income - Adjusted!R35C30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35" s="2"/>
      </tp>
      <tp>
        <v>0.3</v>
        <stp/>
        <stp>##V3_BDHV12</stp>
        <stp>XOM US Equity</stp>
        <stp>IS_EARN_BEF_XO_ITEMS_PER_SH</stp>
        <stp>FQ1 2002</stp>
        <stp>FQ1 2002</stp>
        <stp>[FA1_ivyerigx.xlsx]Income - Adjusted!R35C17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35" s="2"/>
      </tp>
      <tp>
        <v>1.38</v>
        <stp/>
        <stp>##V3_BDHV12</stp>
        <stp>XOM US Equity</stp>
        <stp>IS_EARN_BEF_XO_ITEMS_PER_SH</stp>
        <stp>FQ1 2006</stp>
        <stp>FQ1 2006</stp>
        <stp>[FA1_ivyerigx.xlsx]Income - Adjusted!R35C33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35" s="2"/>
      </tp>
      <tp>
        <v>115764</v>
        <stp/>
        <stp>##V3_BDHV12</stp>
        <stp>XOM US Equity</stp>
        <stp>TOTAL_EQUITY</stp>
        <stp>FQ2 2006</stp>
        <stp>FQ2 2006</stp>
        <stp>[FA1_ivyerigx.xlsx]Bal Sheet - Standardized!R48C34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8" s="3"/>
      </tp>
      <tp>
        <v>95442</v>
        <stp/>
        <stp>##V3_BDHV12</stp>
        <stp>XOM US Equity</stp>
        <stp>TOTAL_EQUITY</stp>
        <stp>FQ3 2004</stp>
        <stp>FQ3 2004</stp>
        <stp>[FA1_ivyerigx.xlsx]Bal Sheet - Standardized!R48C27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8" s="3"/>
      </tp>
      <tp>
        <v>104596</v>
        <stp/>
        <stp>##V3_BDHV12</stp>
        <stp>XOM US Equity</stp>
        <stp>TOTAL_EQUITY</stp>
        <stp>FQ2 2005</stp>
        <stp>FQ2 2005</stp>
        <stp>[FA1_ivyerigx.xlsx]Bal Sheet - Standardized!R48C30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8" s="3"/>
      </tp>
      <tp>
        <v>3702</v>
        <stp/>
        <stp>##V3_BDHV12</stp>
        <stp>XOM US Equity</stp>
        <stp>BS_ST_BORROW</stp>
        <stp>FQ2 2002</stp>
        <stp>FQ2 2002</stp>
        <stp>[FA1_ivyerigx.xlsx]Bal Sheet - Standardized!R32C18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2" s="3"/>
      </tp>
      <tp>
        <v>0</v>
        <stp/>
        <stp>##V3_BDHV12</stp>
        <stp>XOM US Equity</stp>
        <stp>BS_OTHER_INV</stp>
        <stp>FQ2 2001</stp>
        <stp>FQ2 2001</stp>
        <stp>[FA1_ivyerigx.xlsx]Bal Sheet - Standardized!R16C14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6" s="3"/>
      </tp>
      <tp>
        <v>0.53490000000000004</v>
        <stp/>
        <stp>##V3_BDHV12</stp>
        <stp>XOM US Equity</stp>
        <stp>FREE_CASH_FLOW_PER_SH</stp>
        <stp>FQ1 2000</stp>
        <stp>FQ1 2000</stp>
        <stp>[FA1_ivyerigx.xlsx]Cash Flow - Standardized!R49C9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49" s="4"/>
      </tp>
      <tp>
        <v>14892</v>
        <stp/>
        <stp>##V3_BDHV12</stp>
        <stp>XOM US Equity</stp>
        <stp>IS_OPERATING_EXPN</stp>
        <stp>FQ4 2004</stp>
        <stp>FQ4 2004</stp>
        <stp>[FA1_ivyerigx.xlsx]Income - Adjusted!R10C28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10" s="2"/>
      </tp>
      <tp>
        <v>3624</v>
        <stp/>
        <stp>##V3_BDHV12</stp>
        <stp>XOM US Equity</stp>
        <stp>IS_OPERATING_EXPN</stp>
        <stp>FQ1 2005</stp>
        <stp>FQ1 2005</stp>
        <stp>[FA1_ivyerigx.xlsx]Income - Adjusted!R10C29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10" s="2"/>
      </tp>
      <tp>
        <v>-1654</v>
        <stp/>
        <stp>##V3_BDHV12</stp>
        <stp>XOM US Equity</stp>
        <stp>CFF_ACTIVITIES_DETAILED</stp>
        <stp>FQ3 1998</stp>
        <stp>FQ3 1998</stp>
        <stp>[FA1_ivyerigx.xlsx]Cash Flow - Standardized!R33C3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3" s="4"/>
      </tp>
      <tp>
        <v>-1485</v>
        <stp/>
        <stp>##V3_BDHV12</stp>
        <stp>XOM US Equity</stp>
        <stp>CFF_ACTIVITIES_DETAILED</stp>
        <stp>FQ4 1998</stp>
        <stp>FQ4 1998</stp>
        <stp>[FA1_ivyerigx.xlsx]Cash Flow - Standardized!R33C4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3" s="4"/>
      </tp>
      <tp>
        <v>-9179</v>
        <stp/>
        <stp>##V3_BDHV12</stp>
        <stp>XOM US Equity</stp>
        <stp>CF_DECR_CAP_STOCK</stp>
        <stp>FQ4 2006</stp>
        <stp>FQ4 2006</stp>
        <stp>[FA1_ivyerigx.xlsx]Cash Flow - Standardized!R32C36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2" s="4"/>
      </tp>
      <tp>
        <v>-6236</v>
        <stp/>
        <stp>##V3_BDHV12</stp>
        <stp>XOM US Equity</stp>
        <stp>CF_DECR_CAP_STOCK</stp>
        <stp>FQ4 2005</stp>
        <stp>FQ4 2005</stp>
        <stp>[FA1_ivyerigx.xlsx]Cash Flow - Standardized!R32C32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2" s="4"/>
      </tp>
      <tp>
        <v>-221</v>
        <stp/>
        <stp>##V3_BDHV12</stp>
        <stp>XOM US Equity</stp>
        <stp>CFF_ACTIVITIES_DETAILED</stp>
        <stp>FQ2 1999</stp>
        <stp>FQ2 1999</stp>
        <stp>[FA1_ivyerigx.xlsx]Cash Flow - Standardized!R33C6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3" s="4"/>
      </tp>
      <tp>
        <v>-1158</v>
        <stp/>
        <stp>##V3_BDHV12</stp>
        <stp>XOM US Equity</stp>
        <stp>CFF_ACTIVITIES_DETAILED</stp>
        <stp>FQ3 1999</stp>
        <stp>FQ3 1999</stp>
        <stp>[FA1_ivyerigx.xlsx]Cash Flow - Standardized!R33C7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3" s="4"/>
      </tp>
      <tp>
        <v>-1561</v>
        <stp/>
        <stp>##V3_BDHV12</stp>
        <stp>XOM US Equity</stp>
        <stp>CFF_ACTIVITIES_DETAILED</stp>
        <stp>FQ1 1999</stp>
        <stp>FQ1 1999</stp>
        <stp>[FA1_ivyerigx.xlsx]Cash Flow - Standardized!R33C5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3" s="4"/>
      </tp>
      <tp>
        <v>17795</v>
        <stp/>
        <stp>##V3_BDHV12</stp>
        <stp>XOM US Equity</stp>
        <stp>IS_OPER_INC</stp>
        <stp>FQ1 2008</stp>
        <stp>FQ1 2008</stp>
        <stp>[FA1_ivyerigx.xlsx]Income - Adjusted!R12C41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2" s="2"/>
      </tp>
      <tp>
        <v>-1786</v>
        <stp/>
        <stp>##V3_BDHV12</stp>
        <stp>XOM US Equity</stp>
        <stp>CFF_ACTIVITIES_DETAILED</stp>
        <stp>FQ4 1999</stp>
        <stp>FQ4 1999</stp>
        <stp>[FA1_ivyerigx.xlsx]Cash Flow - Standardized!R33C8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3" s="4"/>
      </tp>
      <tp>
        <v>2198</v>
        <stp/>
        <stp>##V3_BDHV12</stp>
        <stp>XOM US Equity</stp>
        <stp>CF_FREE_CASH_FLOW</stp>
        <stp>FQ1 2002</stp>
        <stp>FQ1 2002</stp>
        <stp>[FA1_ivyerigx.xlsx]Cash Flow - Standardized!R46C17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6" s="4"/>
      </tp>
      <tp>
        <v>12275</v>
        <stp/>
        <stp>##V3_BDHV12</stp>
        <stp>XOM US Equity</stp>
        <stp>CF_FREE_CASH_FLOW</stp>
        <stp>FQ3 2005</stp>
        <stp>FQ3 2005</stp>
        <stp>[FA1_ivyerigx.xlsx]Cash Flow - Standardized!R46C31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6" s="4"/>
      </tp>
      <tp>
        <v>5720</v>
        <stp/>
        <stp>##V3_BDHV12</stp>
        <stp>XOM US Equity</stp>
        <stp>CF_FREE_CASH_FLOW</stp>
        <stp>FQ2 2004</stp>
        <stp>FQ2 2004</stp>
        <stp>[FA1_ivyerigx.xlsx]Cash Flow - Standardized!R46C26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6" s="4"/>
      </tp>
      <tp>
        <v>10782</v>
        <stp/>
        <stp>##V3_BDHV12</stp>
        <stp>XOM US Equity</stp>
        <stp>CF_FREE_CASH_FLOW</stp>
        <stp>FQ3 2006</stp>
        <stp>FQ3 2006</stp>
        <stp>[FA1_ivyerigx.xlsx]Cash Flow - Standardized!R46C35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6" s="4"/>
      </tp>
      <tp>
        <v>6701</v>
        <stp/>
        <stp>##V3_BDHV12</stp>
        <stp>XOM US Equity</stp>
        <stp>CF_FREE_CASH_FLOW</stp>
        <stp>FQ1 2001</stp>
        <stp>FQ1 2001</stp>
        <stp>[FA1_ivyerigx.xlsx]Cash Flow - Standardized!R46C13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6" s="4"/>
      </tp>
      <tp>
        <v>4055</v>
        <stp/>
        <stp>##V3_BDHV12</stp>
        <stp>XOM US Equity</stp>
        <stp>CF_FREE_CASH_FLOW</stp>
        <stp>FQ2 2003</stp>
        <stp>FQ2 2003</stp>
        <stp>[FA1_ivyerigx.xlsx]Cash Flow - Standardized!R46C22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6" s="4"/>
      </tp>
      <tp>
        <v>6775</v>
        <stp/>
        <stp>##V3_BDHV12</stp>
        <stp>XOM US Equity</stp>
        <stp>CF_FREE_CASH_FLOW</stp>
        <stp>FQ4 2007</stp>
        <stp>FQ4 2007</stp>
        <stp>[FA1_ivyerigx.xlsx]Cash Flow - Standardized!R46C40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6" s="4"/>
      </tp>
      <tp>
        <v>11128</v>
        <stp/>
        <stp>##V3_BDHV12</stp>
        <stp>XOM US Equity</stp>
        <stp>CF_FREE_CASH_FLOW</stp>
        <stp>FQ3 2007</stp>
        <stp>FQ3 2007</stp>
        <stp>[FA1_ivyerigx.xlsx]Cash Flow - Standardized!R46C39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6" s="4"/>
      </tp>
      <tp>
        <v>0.65</v>
        <stp/>
        <stp>##V3_BDHV12</stp>
        <stp>XOM US Equity</stp>
        <stp>IS_DILUTED_EPS</stp>
        <stp>FQ2 2000</stp>
        <stp>FQ2 2000</stp>
        <stp>[FA1_ivyerigx.xlsx]Income - Adjusted!R39C10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J39" s="2"/>
      </tp>
      <tp>
        <v>0.62</v>
        <stp/>
        <stp>##V3_BDHV12</stp>
        <stp>XOM US Equity</stp>
        <stp>IS_DILUTED_EPS</stp>
        <stp>FQ2 2003</stp>
        <stp>FQ2 2003</stp>
        <stp>[FA1_ivyerigx.xlsx]Income - Adjusted!R39C22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V39" s="2"/>
      </tp>
      <tp>
        <v>0.65</v>
        <stp/>
        <stp>##V3_BDHV12</stp>
        <stp>XOM US Equity</stp>
        <stp>IS_DILUTED_EPS</stp>
        <stp>FQ2 2001</stp>
        <stp>FQ2 2001</stp>
        <stp>[FA1_ivyerigx.xlsx]Income - Adjusted!R39C14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N39" s="2"/>
      </tp>
      <tp>
        <v>0.39</v>
        <stp/>
        <stp>##V3_BDHV12</stp>
        <stp>XOM US Equity</stp>
        <stp>IS_DILUTED_EPS</stp>
        <stp>FQ2 2002</stp>
        <stp>FQ2 2002</stp>
        <stp>[FA1_ivyerigx.xlsx]Income - Adjusted!R39C18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R39" s="2"/>
      </tp>
      <tp>
        <v>1.72</v>
        <stp/>
        <stp>##V3_BDHV12</stp>
        <stp>XOM US Equity</stp>
        <stp>IS_DILUTED_EPS</stp>
        <stp>FQ2 2006</stp>
        <stp>FQ2 2006</stp>
        <stp>[FA1_ivyerigx.xlsx]Income - Adjusted!R39C34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H39" s="2"/>
      </tp>
      <tp>
        <v>1.83</v>
        <stp/>
        <stp>##V3_BDHV12</stp>
        <stp>XOM US Equity</stp>
        <stp>IS_DILUTED_EPS</stp>
        <stp>FQ2 2007</stp>
        <stp>FQ2 2007</stp>
        <stp>[FA1_ivyerigx.xlsx]Income - Adjusted!R39C38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L39" s="2"/>
      </tp>
      <tp>
        <v>0.88</v>
        <stp/>
        <stp>##V3_BDHV12</stp>
        <stp>XOM US Equity</stp>
        <stp>IS_DILUTED_EPS</stp>
        <stp>FQ2 2004</stp>
        <stp>FQ2 2004</stp>
        <stp>[FA1_ivyerigx.xlsx]Income - Adjusted!R39C26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Z39" s="2"/>
      </tp>
      <tp>
        <v>1.2</v>
        <stp/>
        <stp>##V3_BDHV12</stp>
        <stp>XOM US Equity</stp>
        <stp>IS_DILUTED_EPS</stp>
        <stp>FQ2 2005</stp>
        <stp>FQ2 2005</stp>
        <stp>[FA1_ivyerigx.xlsx]Income - Adjusted!R39C30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D39" s="2"/>
      </tp>
      <tp>
        <v>2.2200000000000002</v>
        <stp/>
        <stp>##V3_BDHV12</stp>
        <stp>XOM US Equity</stp>
        <stp>IS_DILUTED_EPS</stp>
        <stp>FQ2 2008</stp>
        <stp>FQ2 2008</stp>
        <stp>[FA1_ivyerigx.xlsx]Income - Adjusted!R39C42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P39" s="2"/>
      </tp>
      <tp>
        <v>0.46</v>
        <stp/>
        <stp>##V3_BDHV12</stp>
        <stp>XOM US Equity</stp>
        <stp>IS_DILUTED_EPS</stp>
        <stp>FQ3 2001</stp>
        <stp>FQ3 2001</stp>
        <stp>[FA1_ivyerigx.xlsx]Income - Adjusted!R39C15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O39" s="2"/>
      </tp>
      <tp>
        <v>0.55000000000000004</v>
        <stp/>
        <stp>##V3_BDHV12</stp>
        <stp>XOM US Equity</stp>
        <stp>IS_DILUTED_EPS</stp>
        <stp>FQ3 2003</stp>
        <stp>FQ3 2003</stp>
        <stp>[FA1_ivyerigx.xlsx]Income - Adjusted!R39C23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W39" s="2"/>
      </tp>
      <tp>
        <v>0.63</v>
        <stp/>
        <stp>##V3_BDHV12</stp>
        <stp>XOM US Equity</stp>
        <stp>IS_DILUTED_EPS</stp>
        <stp>FQ3 2000</stp>
        <stp>FQ3 2000</stp>
        <stp>[FA1_ivyerigx.xlsx]Income - Adjusted!R39C11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K39" s="2"/>
      </tp>
      <tp>
        <v>0.39</v>
        <stp/>
        <stp>##V3_BDHV12</stp>
        <stp>XOM US Equity</stp>
        <stp>IS_DILUTED_EPS</stp>
        <stp>FQ3 2002</stp>
        <stp>FQ3 2002</stp>
        <stp>[FA1_ivyerigx.xlsx]Income - Adjusted!R39C19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S39" s="2"/>
      </tp>
      <tp>
        <v>1.7</v>
        <stp/>
        <stp>##V3_BDHV12</stp>
        <stp>XOM US Equity</stp>
        <stp>IS_DILUTED_EPS</stp>
        <stp>FQ3 2007</stp>
        <stp>FQ3 2007</stp>
        <stp>[FA1_ivyerigx.xlsx]Income - Adjusted!R39C39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M39" s="2"/>
      </tp>
      <tp>
        <v>1.77</v>
        <stp/>
        <stp>##V3_BDHV12</stp>
        <stp>XOM US Equity</stp>
        <stp>IS_DILUTED_EPS</stp>
        <stp>FQ3 2006</stp>
        <stp>FQ3 2006</stp>
        <stp>[FA1_ivyerigx.xlsx]Income - Adjusted!R39C35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I39" s="2"/>
      </tp>
      <tp>
        <v>0.88</v>
        <stp/>
        <stp>##V3_BDHV12</stp>
        <stp>XOM US Equity</stp>
        <stp>IS_DILUTED_EPS</stp>
        <stp>FQ3 2004</stp>
        <stp>FQ3 2004</stp>
        <stp>[FA1_ivyerigx.xlsx]Income - Adjusted!R39C27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A39" s="2"/>
      </tp>
      <tp>
        <v>1.58</v>
        <stp/>
        <stp>##V3_BDHV12</stp>
        <stp>XOM US Equity</stp>
        <stp>IS_DILUTED_EPS</stp>
        <stp>FQ3 2005</stp>
        <stp>FQ3 2005</stp>
        <stp>[FA1_ivyerigx.xlsx]Income - Adjusted!R39C31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E39" s="2"/>
      </tp>
      <tp>
        <v>0.3</v>
        <stp/>
        <stp>##V3_BDHV12</stp>
        <stp>XOM US Equity</stp>
        <stp>IS_DILUTED_EPS</stp>
        <stp>FQ1 2002</stp>
        <stp>FQ1 2002</stp>
        <stp>[FA1_ivyerigx.xlsx]Income - Adjusted!R39C17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Q39" s="2"/>
      </tp>
      <tp>
        <v>0.71</v>
        <stp/>
        <stp>##V3_BDHV12</stp>
        <stp>XOM US Equity</stp>
        <stp>IS_DILUTED_EPS</stp>
        <stp>FQ1 2001</stp>
        <stp>FQ1 2001</stp>
        <stp>[FA1_ivyerigx.xlsx]Income - Adjusted!R39C13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M39" s="2"/>
      </tp>
      <tp>
        <v>1.05</v>
        <stp/>
        <stp>##V3_BDHV12</stp>
        <stp>XOM US Equity</stp>
        <stp>IS_DILUTED_EPS</stp>
        <stp>FQ1 2003</stp>
        <stp>FQ1 2003</stp>
        <stp>[FA1_ivyerigx.xlsx]Income - Adjusted!R39C21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U39" s="2"/>
      </tp>
      <tp>
        <v>0.83</v>
        <stp/>
        <stp>##V3_BDHV12</stp>
        <stp>XOM US Equity</stp>
        <stp>IS_DILUTED_EPS</stp>
        <stp>FQ1 2004</stp>
        <stp>FQ1 2004</stp>
        <stp>[FA1_ivyerigx.xlsx]Income - Adjusted!R39C25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Y39" s="2"/>
      </tp>
      <tp>
        <v>1.22</v>
        <stp/>
        <stp>##V3_BDHV12</stp>
        <stp>XOM US Equity</stp>
        <stp>IS_DILUTED_EPS</stp>
        <stp>FQ1 2005</stp>
        <stp>FQ1 2005</stp>
        <stp>[FA1_ivyerigx.xlsx]Income - Adjusted!R39C29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C39" s="2"/>
      </tp>
      <tp>
        <v>1.62</v>
        <stp/>
        <stp>##V3_BDHV12</stp>
        <stp>XOM US Equity</stp>
        <stp>IS_DILUTED_EPS</stp>
        <stp>FQ1 2007</stp>
        <stp>FQ1 2007</stp>
        <stp>[FA1_ivyerigx.xlsx]Income - Adjusted!R39C37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K39" s="2"/>
      </tp>
      <tp>
        <v>1.37</v>
        <stp/>
        <stp>##V3_BDHV12</stp>
        <stp>XOM US Equity</stp>
        <stp>IS_DILUTED_EPS</stp>
        <stp>FQ1 2006</stp>
        <stp>FQ1 2006</stp>
        <stp>[FA1_ivyerigx.xlsx]Income - Adjusted!R39C33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G39" s="2"/>
      </tp>
      <tp>
        <v>2.0299999999999998</v>
        <stp/>
        <stp>##V3_BDHV12</stp>
        <stp>XOM US Equity</stp>
        <stp>IS_DILUTED_EPS</stp>
        <stp>FQ1 2008</stp>
        <stp>FQ1 2008</stp>
        <stp>[FA1_ivyerigx.xlsx]Income - Adjusted!R39C41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O39" s="2"/>
      </tp>
      <tp>
        <v>1.3</v>
        <stp/>
        <stp>##V3_BDHV12</stp>
        <stp>XOM US Equity</stp>
        <stp>IS_DILUTED_EPS</stp>
        <stp>FQ4 2004</stp>
        <stp>FQ4 2004</stp>
        <stp>[FA1_ivyerigx.xlsx]Income - Adjusted!R39C28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B39" s="2"/>
      </tp>
      <tp>
        <v>1.71</v>
        <stp/>
        <stp>##V3_BDHV12</stp>
        <stp>XOM US Equity</stp>
        <stp>IS_DILUTED_EPS</stp>
        <stp>FQ4 2005</stp>
        <stp>FQ4 2005</stp>
        <stp>[FA1_ivyerigx.xlsx]Income - Adjusted!R39C32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F39" s="2"/>
      </tp>
      <tp>
        <v>1.76</v>
        <stp/>
        <stp>##V3_BDHV12</stp>
        <stp>XOM US Equity</stp>
        <stp>IS_DILUTED_EPS</stp>
        <stp>FQ4 2006</stp>
        <stp>FQ4 2006</stp>
        <stp>[FA1_ivyerigx.xlsx]Income - Adjusted!R39C36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J39" s="2"/>
      </tp>
      <tp>
        <v>2.13</v>
        <stp/>
        <stp>##V3_BDHV12</stp>
        <stp>XOM US Equity</stp>
        <stp>IS_DILUTED_EPS</stp>
        <stp>FQ4 2007</stp>
        <stp>FQ4 2007</stp>
        <stp>[FA1_ivyerigx.xlsx]Income - Adjusted!R39C40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AN39" s="2"/>
      </tp>
      <tp>
        <v>0.76</v>
        <stp/>
        <stp>##V3_BDHV12</stp>
        <stp>XOM US Equity</stp>
        <stp>IS_DILUTED_EPS</stp>
        <stp>FQ4 2000</stp>
        <stp>FQ4 2000</stp>
        <stp>[FA1_ivyerigx.xlsx]Income - Adjusted!R39C12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L39" s="2"/>
      </tp>
      <tp>
        <v>1.01</v>
        <stp/>
        <stp>##V3_BDHV12</stp>
        <stp>XOM US Equity</stp>
        <stp>IS_DILUTED_EPS</stp>
        <stp>FQ4 2003</stp>
        <stp>FQ4 2003</stp>
        <stp>[FA1_ivyerigx.xlsx]Income - Adjusted!R39C24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X39" s="2"/>
      </tp>
      <tp>
        <v>0.6</v>
        <stp/>
        <stp>##V3_BDHV12</stp>
        <stp>XOM US Equity</stp>
        <stp>IS_DILUTED_EPS</stp>
        <stp>FQ4 2002</stp>
        <stp>FQ4 2002</stp>
        <stp>[FA1_ivyerigx.xlsx]Income - Adjusted!R39C20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T39" s="2"/>
      </tp>
      <tp>
        <v>0.39</v>
        <stp/>
        <stp>##V3_BDHV12</stp>
        <stp>XOM US Equity</stp>
        <stp>IS_DILUTED_EPS</stp>
        <stp>FQ4 2001</stp>
        <stp>FQ4 2001</stp>
        <stp>[FA1_ivyerigx.xlsx]Income - Adjusted!R39C16</stp>
        <stp>Currency=USD</stp>
        <stp>Period=FQ</stp>
        <stp>BEST_FPERIOD_OVERRIDE=FQ</stp>
        <stp>FILING_STATUS=OR</stp>
        <stp>FA_ADJUSTED=GAAP</stp>
        <stp>Sort=A</stp>
        <stp>Dates=H</stp>
        <stp>DateFormat=P</stp>
        <stp>Fill=—</stp>
        <stp>Direction=H</stp>
        <stp>UseDPDF=Y</stp>
        <tr r="P39" s="2"/>
      </tp>
      <tp>
        <v>1.83</v>
        <stp/>
        <stp>##V3_BDHV12</stp>
        <stp>XOM US Equity</stp>
        <stp>IS_DIL_EPS_CONT_OPS</stp>
        <stp>FQ2 2007</stp>
        <stp>FQ2 2007</stp>
        <stp>[FA1_ivyerigx.xlsx]Per Share!R19C38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9" s="5"/>
      </tp>
      <tp>
        <v>1397.5</v>
        <stp/>
        <stp>##V3_BDHV12</stp>
        <stp>XOM US Equity</stp>
        <stp>EARN_FOR_COMMON</stp>
        <stp>FQ3 1998</stp>
        <stp>FQ3 1998</stp>
        <stp>[FA1_ivyerigx.xlsx]Income - Adjusted!R27C3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C27" s="2"/>
      </tp>
      <tp>
        <v>1530</v>
        <stp/>
        <stp>##V3_BDHV12</stp>
        <stp>XOM US Equity</stp>
        <stp>EARN_FOR_COMMON</stp>
        <stp>FQ4 1998</stp>
        <stp>FQ4 1998</stp>
        <stp>[FA1_ivyerigx.xlsx]Income - Adjusted!R27C4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D27" s="2"/>
      </tp>
      <tp>
        <v>2.2200000000000002</v>
        <stp/>
        <stp>##V3_BDHV12</stp>
        <stp>XOM US Equity</stp>
        <stp>IS_DIL_EPS_BEF_XO</stp>
        <stp>FQ2 2008</stp>
        <stp>FQ2 2008</stp>
        <stp>[FA1_ivyerigx.xlsx]Income - Adjusted!R40C42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0" s="2"/>
      </tp>
      <tp>
        <v>0.39</v>
        <stp/>
        <stp>##V3_BDHV12</stp>
        <stp>XOM US Equity</stp>
        <stp>IS_DIL_EPS_BEF_XO</stp>
        <stp>FQ2 2002</stp>
        <stp>FQ2 2002</stp>
        <stp>[FA1_ivyerigx.xlsx]Income - Adjusted!R40C18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0" s="2"/>
      </tp>
      <tp>
        <v>4910</v>
        <stp/>
        <stp>##V3_BDHV12</stp>
        <stp>XOM US Equity</stp>
        <stp>IS_SH_FOR_DILUTED_EPS</stp>
        <stp>FQ1 1999</stp>
        <stp>FQ1 1999</stp>
        <stp>[FA1_ivyerigx.xlsx]Per Share!R7C5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7" s="5"/>
      </tp>
      <tp>
        <v>4914</v>
        <stp/>
        <stp>##V3_BDHV12</stp>
        <stp>XOM US Equity</stp>
        <stp>IS_SH_FOR_DILUTED_EPS</stp>
        <stp>FQ2 1999</stp>
        <stp>FQ2 1999</stp>
        <stp>[FA1_ivyerigx.xlsx]Per Share!R7C6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7" s="5"/>
      </tp>
      <tp>
        <v>4912</v>
        <stp/>
        <stp>##V3_BDHV12</stp>
        <stp>XOM US Equity</stp>
        <stp>IS_SH_FOR_DILUTED_EPS</stp>
        <stp>FQ3 1999</stp>
        <stp>FQ3 1999</stp>
        <stp>[FA1_ivyerigx.xlsx]Per Share!R7C7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7" s="5"/>
      </tp>
      <tp>
        <v>13910</v>
        <stp/>
        <stp>##V3_BDHV12</stp>
        <stp>XOM US Equity</stp>
        <stp>EBIT</stp>
        <stp>FQ3 2007</stp>
        <stp>FQ3 2007</stp>
        <stp>[FA1_ivyerigx.xlsx]Income - Adjusted!R48C39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48" s="2"/>
      </tp>
      <tp>
        <v>1739</v>
        <stp/>
        <stp>##V3_BDHV12</stp>
        <stp>XOM US Equity</stp>
        <stp>BS_ST_BORROW</stp>
        <stp>FQ1 2006</stp>
        <stp>FQ1 2006</stp>
        <stp>[FA1_ivyerigx.xlsx]Bal Sheet - Standardized!R32C33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2" s="3"/>
      </tp>
      <tp>
        <v>3893</v>
        <stp/>
        <stp>##V3_BDHV12</stp>
        <stp>XOM US Equity</stp>
        <stp>BS_ST_BORROW</stp>
        <stp>FQ3 2001</stp>
        <stp>FQ3 2001</stp>
        <stp>[FA1_ivyerigx.xlsx]Bal Sheet - Standardized!R32C15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2" s="3"/>
      </tp>
      <tp>
        <v>0</v>
        <stp/>
        <stp>##V3_BDHV12</stp>
        <stp>XOM US Equity</stp>
        <stp>BS_OTHER_INV</stp>
        <stp>FQ3 2002</stp>
        <stp>FQ3 2002</stp>
        <stp>[FA1_ivyerigx.xlsx]Bal Sheet - Standardized!R16C19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6" s="3"/>
      </tp>
      <tp>
        <v>-3531</v>
        <stp/>
        <stp>##V3_BDHV12</stp>
        <stp>XOM US Equity</stp>
        <stp>PROC_FR_REPAYMNTS_BOR_DETAILED</stp>
        <stp>FQ1 2000</stp>
        <stp>FQ1 2000</stp>
        <stp>[FA1_ivyerigx.xlsx]Cash Flow - Standardized!R29C9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9" s="4"/>
      </tp>
      <tp>
        <v>0</v>
        <stp/>
        <stp>##V3_BDHV12</stp>
        <stp>XOM US Equity</stp>
        <stp>IS_FOREIGN_EXCH_LOSS</stp>
        <stp>FQ2 2008</stp>
        <stp>FQ2 2008</stp>
        <stp>[FA1_ivyerigx.xlsx]Income - Adjusted!R15C42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5" s="2"/>
      </tp>
      <tp t="s">
        <v>—</v>
        <stp/>
        <stp>##V3_BDHV12</stp>
        <stp>XOM US Equity</stp>
        <stp>IS_FOREIGN_EXCH_LOSS</stp>
        <stp>FQ2 2002</stp>
        <stp>FQ2 2002</stp>
        <stp>[FA1_ivyerigx.xlsx]Income - Adjusted!R15C18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5" s="2"/>
      </tp>
      <tp>
        <v>2006</v>
        <stp/>
        <stp>##V3_BDHV12</stp>
        <stp>XOM US Equity</stp>
        <stp>BS_ST_BORROW</stp>
        <stp>FQ1 2007</stp>
        <stp>FQ1 2007</stp>
        <stp>[FA1_ivyerigx.xlsx]Bal Sheet - Standardized!R32C37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2" s="3"/>
      </tp>
      <tp>
        <v>118603</v>
        <stp/>
        <stp>##V3_BDHV12</stp>
        <stp>XOM US Equity</stp>
        <stp>TOTAL_EQUITY</stp>
        <stp>FQ3 2007</stp>
        <stp>FQ3 2007</stp>
        <stp>[FA1_ivyerigx.xlsx]Bal Sheet - Standardized!R48C39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8" s="3"/>
      </tp>
      <tp>
        <v>6713</v>
        <stp/>
        <stp>##V3_BDHV12</stp>
        <stp>XOM US Equity</stp>
        <stp>BS_ST_BORROW</stp>
        <stp>FQ3 2000</stp>
        <stp>FQ3 2000</stp>
        <stp>[FA1_ivyerigx.xlsx]Bal Sheet - Standardized!R32C11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2" s="3"/>
      </tp>
      <tp>
        <v>126044</v>
        <stp/>
        <stp>##V3_BDHV12</stp>
        <stp>XOM US Equity</stp>
        <stp>TOTAL_EQUITY</stp>
        <stp>FQ4 2007</stp>
        <stp>FQ4 2007</stp>
        <stp>[FA1_ivyerigx.xlsx]Bal Sheet - Standardized!R48C40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8" s="3"/>
      </tp>
      <tp>
        <v>0</v>
        <stp/>
        <stp>##V3_BDHV12</stp>
        <stp>XOM US Equity</stp>
        <stp>BS_OTHER_INV</stp>
        <stp>FQ3 2000</stp>
        <stp>FQ3 2000</stp>
        <stp>[FA1_ivyerigx.xlsx]Bal Sheet - Standardized!R16C11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6" s="3"/>
      </tp>
      <tp>
        <v>82581</v>
        <stp/>
        <stp>##V3_BDHV12</stp>
        <stp>XOM US Equity</stp>
        <stp>TOTAL_EQUITY</stp>
        <stp>FQ2 2003</stp>
        <stp>FQ2 2003</stp>
        <stp>[FA1_ivyerigx.xlsx]Bal Sheet - Standardized!R48C22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8" s="3"/>
      </tp>
      <tp>
        <v>71889</v>
        <stp/>
        <stp>##V3_BDHV12</stp>
        <stp>XOM US Equity</stp>
        <stp>TOTAL_EQUITY</stp>
        <stp>FQ1 2001</stp>
        <stp>FQ1 2001</stp>
        <stp>[FA1_ivyerigx.xlsx]Bal Sheet - Standardized!R48C13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8" s="3"/>
      </tp>
      <tp>
        <v>0.46</v>
        <stp/>
        <stp>##V3_BDHV12</stp>
        <stp>XOM US Equity</stp>
        <stp>IS_EARN_BEF_XO_ITEMS_PER_SH</stp>
        <stp>FQ3 2001</stp>
        <stp>FQ3 2001</stp>
        <stp>[FA1_ivyerigx.xlsx]Income - Adjusted!R35C15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35" s="2"/>
      </tp>
      <tp>
        <v>1.6</v>
        <stp/>
        <stp>##V3_BDHV12</stp>
        <stp>XOM US Equity</stp>
        <stp>IS_EARN_BEF_XO_ITEMS_PER_SH</stp>
        <stp>FQ3 2005</stp>
        <stp>FQ3 2005</stp>
        <stp>[FA1_ivyerigx.xlsx]Income - Adjusted!R35C31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35" s="2"/>
      </tp>
      <tp>
        <v>116593</v>
        <stp/>
        <stp>##V3_BDHV12</stp>
        <stp>XOM US Equity</stp>
        <stp>TOTAL_EQUITY</stp>
        <stp>FQ3 2006</stp>
        <stp>FQ3 2006</stp>
        <stp>[FA1_ivyerigx.xlsx]Bal Sheet - Standardized!R48C35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8" s="3"/>
      </tp>
      <tp>
        <v>93535</v>
        <stp/>
        <stp>##V3_BDHV12</stp>
        <stp>XOM US Equity</stp>
        <stp>TOTAL_EQUITY</stp>
        <stp>FQ2 2004</stp>
        <stp>FQ2 2004</stp>
        <stp>[FA1_ivyerigx.xlsx]Bal Sheet - Standardized!R48C26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8" s="3"/>
      </tp>
      <tp>
        <v>0</v>
        <stp/>
        <stp>##V3_BDHV12</stp>
        <stp>XOM US Equity</stp>
        <stp>BS_OTHER_INV</stp>
        <stp>FQ1 2007</stp>
        <stp>FQ1 2007</stp>
        <stp>[FA1_ivyerigx.xlsx]Bal Sheet - Standardized!R16C37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6" s="3"/>
      </tp>
      <tp>
        <v>107890</v>
        <stp/>
        <stp>##V3_BDHV12</stp>
        <stp>XOM US Equity</stp>
        <stp>TOTAL_EQUITY</stp>
        <stp>FQ3 2005</stp>
        <stp>FQ3 2005</stp>
        <stp>[FA1_ivyerigx.xlsx]Bal Sheet - Standardized!R48C31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8" s="3"/>
      </tp>
      <tp>
        <v>3773</v>
        <stp/>
        <stp>##V3_BDHV12</stp>
        <stp>XOM US Equity</stp>
        <stp>BS_ST_BORROW</stp>
        <stp>FQ3 2002</stp>
        <stp>FQ3 2002</stp>
        <stp>[FA1_ivyerigx.xlsx]Bal Sheet - Standardized!R32C19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2" s="3"/>
      </tp>
      <tp>
        <v>0</v>
        <stp/>
        <stp>##V3_BDHV12</stp>
        <stp>XOM US Equity</stp>
        <stp>BS_OTHER_INV</stp>
        <stp>FQ3 2001</stp>
        <stp>FQ3 2001</stp>
        <stp>[FA1_ivyerigx.xlsx]Bal Sheet - Standardized!R16C15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6" s="3"/>
      </tp>
      <tp t="s">
        <v>—</v>
        <stp/>
        <stp>##V3_BDHV12</stp>
        <stp>XOM US Equity</stp>
        <stp>BS_OTHER_INV</stp>
        <stp>FQ1 2006</stp>
        <stp>FQ1 2006</stp>
        <stp>[FA1_ivyerigx.xlsx]Bal Sheet - Standardized!R16C33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6" s="3"/>
      </tp>
      <tp>
        <v>72367</v>
        <stp/>
        <stp>##V3_BDHV12</stp>
        <stp>XOM US Equity</stp>
        <stp>TOTAL_EQUITY</stp>
        <stp>FQ1 2002</stp>
        <stp>FQ1 2002</stp>
        <stp>[FA1_ivyerigx.xlsx]Bal Sheet - Standardized!R48C17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8" s="3"/>
      </tp>
      <tp>
        <v>3571</v>
        <stp/>
        <stp>##V3_BDHV12</stp>
        <stp>XOM US Equity</stp>
        <stp>IS_OPER_INC</stp>
        <stp>FQ2 2002</stp>
        <stp>FQ2 2002</stp>
        <stp>[FA1_ivyerigx.xlsx]Income - Adjusted!R12C18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R12" s="2"/>
      </tp>
      <tp>
        <v>18242</v>
        <stp/>
        <stp>##V3_BDHV12</stp>
        <stp>XOM US Equity</stp>
        <stp>IS_OPER_INC</stp>
        <stp>FQ2 2008</stp>
        <stp>FQ2 2008</stp>
        <stp>[FA1_ivyerigx.xlsx]Income - Adjusted!R12C42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P12" s="2"/>
      </tp>
      <tp>
        <v>3173</v>
        <stp/>
        <stp>##V3_BDHV12</stp>
        <stp>XOM US Equity</stp>
        <stp>CF_FREE_CASH_FLOW</stp>
        <stp>FQ2 2001</stp>
        <stp>FQ2 2001</stp>
        <stp>[FA1_ivyerigx.xlsx]Cash Flow - Standardized!R46C14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6" s="4"/>
      </tp>
      <tp>
        <v>7328</v>
        <stp/>
        <stp>##V3_BDHV12</stp>
        <stp>XOM US Equity</stp>
        <stp>CF_FREE_CASH_FLOW</stp>
        <stp>FQ1 2004</stp>
        <stp>FQ1 2004</stp>
        <stp>[FA1_ivyerigx.xlsx]Cash Flow - Standardized!R46C25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6" s="4"/>
      </tp>
      <tp>
        <v>3932</v>
        <stp/>
        <stp>##V3_BDHV12</stp>
        <stp>XOM US Equity</stp>
        <stp>CF_FREE_CASH_FLOW</stp>
        <stp>FQ2 2000</stp>
        <stp>FQ2 2000</stp>
        <stp>[FA1_ivyerigx.xlsx]Cash Flow - Standardized!R46C10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6" s="4"/>
      </tp>
      <tp>
        <v>5708</v>
        <stp/>
        <stp>##V3_BDHV12</stp>
        <stp>XOM US Equity</stp>
        <stp>CF_FREE_CASH_FLOW</stp>
        <stp>FQ1 2003</stp>
        <stp>FQ1 2003</stp>
        <stp>[FA1_ivyerigx.xlsx]Cash Flow - Standardized!R46C21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6" s="4"/>
      </tp>
      <tp>
        <v>10255</v>
        <stp/>
        <stp>##V3_BDHV12</stp>
        <stp>XOM US Equity</stp>
        <stp>CF_FREE_CASH_FLOW</stp>
        <stp>FQ1 2005</stp>
        <stp>FQ1 2005</stp>
        <stp>[FA1_ivyerigx.xlsx]Cash Flow - Standardized!R46C29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6" s="4"/>
      </tp>
      <tp>
        <v>1279</v>
        <stp/>
        <stp>##V3_BDHV12</stp>
        <stp>XOM US Equity</stp>
        <stp>CF_FREE_CASH_FLOW</stp>
        <stp>FQ2 2002</stp>
        <stp>FQ2 2002</stp>
        <stp>[FA1_ivyerigx.xlsx]Cash Flow - Standardized!R46C18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6" s="4"/>
      </tp>
      <tp>
        <v>18.376100000000001</v>
        <stp/>
        <stp>##V3_BDHV12</stp>
        <stp>XOM US Equity</stp>
        <stp>NET_DEBT_TO_SHRHLDR_EQTY</stp>
        <stp>FQ3 1999</stp>
        <stp>FQ3 1999</stp>
        <stp>[FA1_ivyerigx.xlsx]Bal Sheet - Standardized!R61C7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1" s="3"/>
      </tp>
      <tp>
        <v>18.489799999999999</v>
        <stp/>
        <stp>##V3_BDHV12</stp>
        <stp>XOM US Equity</stp>
        <stp>NET_DEBT_TO_SHRHLDR_EQTY</stp>
        <stp>FQ2 1999</stp>
        <stp>FQ2 1999</stp>
        <stp>[FA1_ivyerigx.xlsx]Bal Sheet - Standardized!R61C6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1" s="3"/>
      </tp>
      <tp>
        <v>16.2667</v>
        <stp/>
        <stp>##V3_BDHV12</stp>
        <stp>XOM US Equity</stp>
        <stp>NET_DEBT_TO_SHRHLDR_EQTY</stp>
        <stp>FQ1 1999</stp>
        <stp>FQ1 1999</stp>
        <stp>[FA1_ivyerigx.xlsx]Bal Sheet - Standardized!R61C5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1" s="3"/>
      </tp>
      <tp>
        <v>1066</v>
        <stp/>
        <stp>##V3_BDHV12</stp>
        <stp>XOM US Equity</stp>
        <stp>BS_NUM_OF_TSY_SH</stp>
        <stp>FQ4 1999</stp>
        <stp>FQ4 1999</stp>
        <stp>[FA1_ivyerigx.xlsx]Bal Sheet - Standardized!R54C8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54" s="3"/>
      </tp>
      <tp>
        <v>-4093</v>
        <stp/>
        <stp>##V3_BDHV12</stp>
        <stp>XOM US Equity</stp>
        <stp>OTHER_INS_RES_TO_SHRHLDR_EQY</stp>
        <stp>FQ2 2002</stp>
        <stp>FQ2 2002</stp>
        <stp>[FA1_ivyerigx.xlsx]Bal Sheet - Standardized!R45C18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5" s="3"/>
      </tp>
      <tp>
        <v>-4587</v>
        <stp/>
        <stp>##V3_BDHV12</stp>
        <stp>XOM US Equity</stp>
        <stp>OTHER_INS_RES_TO_SHRHLDR_EQY</stp>
        <stp>FQ3 2002</stp>
        <stp>FQ3 2002</stp>
        <stp>[FA1_ivyerigx.xlsx]Bal Sheet - Standardized!R45C19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5" s="3"/>
      </tp>
      <tp>
        <v>1.3</v>
        <stp/>
        <stp>##V3_BDHV12</stp>
        <stp>XOM US Equity</stp>
        <stp>IS_DIL_EPS_CONT_OPS</stp>
        <stp>FQ4 2004</stp>
        <stp>FQ4 2004</stp>
        <stp>[FA1_ivyerigx.xlsx]Per Share!R19C28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9" s="5"/>
      </tp>
      <tp>
        <v>1.1499999999999999</v>
        <stp/>
        <stp>##V3_BDHV12</stp>
        <stp>XOM US Equity</stp>
        <stp>IS_DIL_EPS_CONT_OPS</stp>
        <stp>FQ1 2005</stp>
        <stp>FQ1 2005</stp>
        <stp>[FA1_ivyerigx.xlsx]Per Share!R19C29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9" s="5"/>
      </tp>
      <tp>
        <v>513</v>
        <stp/>
        <stp>##V3_BDHV12</stp>
        <stp>XOM US Equity</stp>
        <stp>OTHER_INS_RES_TO_SHRHLDR_EQY</stp>
        <stp>FQ4 2004</stp>
        <stp>FQ4 2004</stp>
        <stp>[FA1_ivyerigx.xlsx]Bal Sheet - Standardized!R45C28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5" s="3"/>
      </tp>
      <tp>
        <v>2.0299999999999998</v>
        <stp/>
        <stp>##V3_BDHV12</stp>
        <stp>XOM US Equity</stp>
        <stp>IS_DIL_EPS_BEF_XO</stp>
        <stp>FQ1 2008</stp>
        <stp>FQ1 2008</stp>
        <stp>[FA1_ivyerigx.xlsx]Income - Adjusted!R40C41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0" s="2"/>
      </tp>
      <tp>
        <v>38</v>
        <stp/>
        <stp>##V3_BDHV12</stp>
        <stp>XOM US Equity</stp>
        <stp>PX_LAST</stp>
        <stp>FQ3 1999</stp>
        <stp>FQ3 1999</stp>
        <stp>[FA1_ivyerigx.xlsx]Stock Value!R6C7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" s="6"/>
      </tp>
      <tp>
        <v>3504</v>
        <stp/>
        <stp>##V3_BDHV12</stp>
        <stp>XOM US Equity</stp>
        <stp>OTHER_INS_RES_TO_SHRHLDR_EQY</stp>
        <stp>FQ1 2008</stp>
        <stp>FQ1 2008</stp>
        <stp>[FA1_ivyerigx.xlsx]Bal Sheet - Standardized!R45C41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5" s="3"/>
      </tp>
      <tp>
        <v>3847</v>
        <stp/>
        <stp>##V3_BDHV12</stp>
        <stp>XOM US Equity</stp>
        <stp>OTHER_INS_RES_TO_SHRHLDR_EQY</stp>
        <stp>FQ2 2008</stp>
        <stp>FQ2 2008</stp>
        <stp>[FA1_ivyerigx.xlsx]Bal Sheet - Standardized!R45C42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5" s="3"/>
      </tp>
      <tp>
        <v>6906</v>
        <stp/>
        <stp>##V3_BDHV12</stp>
        <stp>XOM US Equity</stp>
        <stp>IS_AVG_NUM_SH_FOR_EPS</stp>
        <stp>FQ4 1999</stp>
        <stp>FQ4 1999</stp>
        <stp>[FA1_ivyerigx.xlsx]Per Share!R8C8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5"/>
      </tp>
      <tp>
        <v>3015</v>
        <stp/>
        <stp>##V3_BDHV12</stp>
        <stp>XOM US Equity</stp>
        <stp>BS_ST_BORROW</stp>
        <stp>FQ2 2005</stp>
        <stp>FQ2 2005</stp>
        <stp>[FA1_ivyerigx.xlsx]Bal Sheet - Standardized!R32C30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2" s="3"/>
      </tp>
      <tp>
        <v>75118</v>
        <stp/>
        <stp>##V3_BDHV12</stp>
        <stp>XOM US Equity</stp>
        <stp>TOTAL_EQUITY</stp>
        <stp>FQ2 2002</stp>
        <stp>FQ2 2002</stp>
        <stp>[FA1_ivyerigx.xlsx]Bal Sheet - Standardized!R48C18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8" s="3"/>
      </tp>
      <tp>
        <v>0</v>
        <stp/>
        <stp>##V3_BDHV12</stp>
        <stp>XOM US Equity</stp>
        <stp>IS_FOREIGN_EXCH_LOSS</stp>
        <stp>FQ1 2008</stp>
        <stp>FQ1 2008</stp>
        <stp>[FA1_ivyerigx.xlsx]Income - Adjusted!R15C41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O15" s="2"/>
      </tp>
      <tp>
        <v>0</v>
        <stp/>
        <stp>##V3_BDHV12</stp>
        <stp>XOM US Equity</stp>
        <stp>CF_INCR_INVEST</stp>
        <stp>FQ1 2000</stp>
        <stp>FQ1 2000</stp>
        <stp>[FA1_ivyerigx.xlsx]Cash Flow - Standardized!R23C9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3" s="4"/>
      </tp>
      <tp>
        <v>1964</v>
        <stp/>
        <stp>##V3_BDHV12</stp>
        <stp>XOM US Equity</stp>
        <stp>BS_ST_BORROW</stp>
        <stp>FQ2 2006</stp>
        <stp>FQ2 2006</stp>
        <stp>[FA1_ivyerigx.xlsx]Bal Sheet - Standardized!R32C34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2" s="3"/>
      </tp>
      <tp>
        <v>4913</v>
        <stp/>
        <stp>##V3_BDHV12</stp>
        <stp>XOM US Equity</stp>
        <stp>BS_ST_BORROW</stp>
        <stp>FQ3 2004</stp>
        <stp>FQ3 2004</stp>
        <stp>[FA1_ivyerigx.xlsx]Bal Sheet - Standardized!R32C27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2" s="3"/>
      </tp>
      <tp>
        <v>4004</v>
        <stp/>
        <stp>##V3_BDHV12</stp>
        <stp>XOM US Equity</stp>
        <stp>BS_ST_BORROW</stp>
        <stp>FQ3 2003</stp>
        <stp>FQ3 2003</stp>
        <stp>[FA1_ivyerigx.xlsx]Bal Sheet - Standardized!R32C23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2" s="3"/>
      </tp>
      <tp>
        <v>103698</v>
        <stp/>
        <stp>##V3_BDHV12</stp>
        <stp>XOM US Equity</stp>
        <stp>TOTAL_EQUITY</stp>
        <stp>FQ1 2005</stp>
        <stp>FQ1 2005</stp>
        <stp>[FA1_ivyerigx.xlsx]Bal Sheet - Standardized!R48C29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8" s="3"/>
      </tp>
      <tp>
        <v>0</v>
        <stp/>
        <stp>##V3_BDHV12</stp>
        <stp>XOM US Equity</stp>
        <stp>BS_OTHER_INV</stp>
        <stp>FQ2 2007</stp>
        <stp>FQ2 2007</stp>
        <stp>[FA1_ivyerigx.xlsx]Bal Sheet - Standardized!R16C38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6" s="3"/>
      </tp>
      <tp>
        <v>2033</v>
        <stp/>
        <stp>##V3_BDHV12</stp>
        <stp>XOM US Equity</stp>
        <stp>BS_ST_BORROW</stp>
        <stp>FQ2 2007</stp>
        <stp>FQ2 2007</stp>
        <stp>[FA1_ivyerigx.xlsx]Bal Sheet - Standardized!R32C38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2" s="3"/>
      </tp>
      <tp>
        <v>79585</v>
        <stp/>
        <stp>##V3_BDHV12</stp>
        <stp>XOM US Equity</stp>
        <stp>TOTAL_EQUITY</stp>
        <stp>FQ1 2003</stp>
        <stp>FQ1 2003</stp>
        <stp>[FA1_ivyerigx.xlsx]Bal Sheet - Standardized!R48C21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8" s="3"/>
      </tp>
      <tp>
        <v>0</v>
        <stp/>
        <stp>##V3_BDHV12</stp>
        <stp>XOM US Equity</stp>
        <stp>BS_OTHER_INV</stp>
        <stp>FQ3 2003</stp>
        <stp>FQ3 2003</stp>
        <stp>[FA1_ivyerigx.xlsx]Bal Sheet - Standardized!R16C23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6" s="3"/>
      </tp>
      <tp>
        <v>66936</v>
        <stp/>
        <stp>##V3_BDHV12</stp>
        <stp>XOM US Equity</stp>
        <stp>TOTAL_EQUITY</stp>
        <stp>FQ2 2000</stp>
        <stp>FQ2 2000</stp>
        <stp>[FA1_ivyerigx.xlsx]Bal Sheet - Standardized!R48C10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8" s="3"/>
      </tp>
      <tp t="s">
        <v>—</v>
        <stp/>
        <stp>##V3_BDHV12</stp>
        <stp>XOM US Equity</stp>
        <stp>BS_OTHER_INV</stp>
        <stp>FQ2 2006</stp>
        <stp>FQ2 2006</stp>
        <stp>[FA1_ivyerigx.xlsx]Bal Sheet - Standardized!R16C34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6" s="3"/>
      </tp>
      <tp>
        <v>0</v>
        <stp/>
        <stp>##V3_BDHV12</stp>
        <stp>XOM US Equity</stp>
        <stp>BS_OTHER_INV</stp>
        <stp>FQ3 2004</stp>
        <stp>FQ3 2004</stp>
        <stp>[FA1_ivyerigx.xlsx]Bal Sheet - Standardized!R16C27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6" s="3"/>
      </tp>
      <tp>
        <v>1.72</v>
        <stp/>
        <stp>##V3_BDHV12</stp>
        <stp>XOM US Equity</stp>
        <stp>IS_EARN_BEF_XO_ITEMS_PER_SH</stp>
        <stp>FQ4 2005</stp>
        <stp>FQ4 2005</stp>
        <stp>[FA1_ivyerigx.xlsx]Income - Adjusted!R35C32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35" s="2"/>
      </tp>
      <tp>
        <v>2.15</v>
        <stp/>
        <stp>##V3_BDHV12</stp>
        <stp>XOM US Equity</stp>
        <stp>IS_EARN_BEF_XO_ITEMS_PER_SH</stp>
        <stp>FQ4 2007</stp>
        <stp>FQ4 2007</stp>
        <stp>[FA1_ivyerigx.xlsx]Income - Adjusted!R35C40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35" s="2"/>
      </tp>
      <tp>
        <v>0.39</v>
        <stp/>
        <stp>##V3_BDHV12</stp>
        <stp>XOM US Equity</stp>
        <stp>IS_EARN_BEF_XO_ITEMS_PER_SH</stp>
        <stp>FQ4 2001</stp>
        <stp>FQ4 2001</stp>
        <stp>[FA1_ivyerigx.xlsx]Income - Adjusted!R35C16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35" s="2"/>
      </tp>
      <tp>
        <v>1.01</v>
        <stp/>
        <stp>##V3_BDHV12</stp>
        <stp>XOM US Equity</stp>
        <stp>IS_EARN_BEF_XO_ITEMS_PER_SH</stp>
        <stp>FQ4 2003</stp>
        <stp>FQ4 2003</stp>
        <stp>[FA1_ivyerigx.xlsx]Income - Adjusted!R35C24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35" s="2"/>
      </tp>
      <tp>
        <v>91681</v>
        <stp/>
        <stp>##V3_BDHV12</stp>
        <stp>XOM US Equity</stp>
        <stp>TOTAL_EQUITY</stp>
        <stp>FQ1 2004</stp>
        <stp>FQ1 2004</stp>
        <stp>[FA1_ivyerigx.xlsx]Bal Sheet - Standardized!R48C25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8" s="3"/>
      </tp>
      <tp>
        <v>72974</v>
        <stp/>
        <stp>##V3_BDHV12</stp>
        <stp>XOM US Equity</stp>
        <stp>TOTAL_EQUITY</stp>
        <stp>FQ2 2001</stp>
        <stp>FQ2 2001</stp>
        <stp>[FA1_ivyerigx.xlsx]Bal Sheet - Standardized!R48C14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8" s="3"/>
      </tp>
      <tp>
        <v>0</v>
        <stp/>
        <stp>##V3_BDHV12</stp>
        <stp>XOM US Equity</stp>
        <stp>BS_OTHER_INV</stp>
        <stp>FQ2 2005</stp>
        <stp>FQ2 2005</stp>
        <stp>[FA1_ivyerigx.xlsx]Bal Sheet - Standardized!R16C30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6" s="3"/>
      </tp>
      <tp>
        <v>4005</v>
        <stp/>
        <stp>##V3_BDHV12</stp>
        <stp>XOM US Equity</stp>
        <stp>IS_OPERATING_EXPN</stp>
        <stp>FQ3 2007</stp>
        <stp>FQ3 2007</stp>
        <stp>[FA1_ivyerigx.xlsx]Income - Adjusted!R10C39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M10" s="2"/>
      </tp>
      <tp>
        <v>-1496</v>
        <stp/>
        <stp>##V3_BDHV12</stp>
        <stp>XOM US Equity</stp>
        <stp>CF_DECR_CAP_STOCK</stp>
        <stp>FQ4 2000</stp>
        <stp>FQ4 2000</stp>
        <stp>[FA1_ivyerigx.xlsx]Cash Flow - Standardized!R32C12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2" s="4"/>
      </tp>
      <tp>
        <v>-1656</v>
        <stp/>
        <stp>##V3_BDHV12</stp>
        <stp>XOM US Equity</stp>
        <stp>CF_DECR_CAP_STOCK</stp>
        <stp>FQ4 2001</stp>
        <stp>FQ4 2001</stp>
        <stp>[FA1_ivyerigx.xlsx]Cash Flow - Standardized!R32C16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2" s="4"/>
      </tp>
      <tp>
        <v>3850</v>
        <stp/>
        <stp>##V3_BDHV12</stp>
        <stp>XOM US Equity</stp>
        <stp>IS_OPER_INC</stp>
        <stp>FQ3 2002</stp>
        <stp>FQ3 2002</stp>
        <stp>[FA1_ivyerigx.xlsx]Income - Adjusted!R12C19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S12" s="2"/>
      </tp>
      <tp>
        <v>-9465</v>
        <stp/>
        <stp>##V3_BDHV12</stp>
        <stp>XOM US Equity</stp>
        <stp>CF_DECR_CAP_STOCK</stp>
        <stp>FQ1 2008</stp>
        <stp>FQ1 2008</stp>
        <stp>[FA1_ivyerigx.xlsx]Cash Flow - Standardized!R32C41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2" s="4"/>
      </tp>
      <tp>
        <v>10901</v>
        <stp/>
        <stp>##V3_BDHV12</stp>
        <stp>XOM US Equity</stp>
        <stp>CF_FREE_CASH_FLOW</stp>
        <stp>FQ1 2006</stp>
        <stp>FQ1 2006</stp>
        <stp>[FA1_ivyerigx.xlsx]Cash Flow - Standardized!R46C33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6" s="4"/>
      </tp>
      <tp>
        <v>2762</v>
        <stp/>
        <stp>##V3_BDHV12</stp>
        <stp>XOM US Equity</stp>
        <stp>CF_FREE_CASH_FLOW</stp>
        <stp>FQ3 2001</stp>
        <stp>FQ3 2001</stp>
        <stp>[FA1_ivyerigx.xlsx]Cash Flow - Standardized!R46C15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6" s="4"/>
      </tp>
      <tp>
        <v>11180</v>
        <stp/>
        <stp>##V3_BDHV12</stp>
        <stp>XOM US Equity</stp>
        <stp>CF_FREE_CASH_FLOW</stp>
        <stp>FQ1 2007</stp>
        <stp>FQ1 2007</stp>
        <stp>[FA1_ivyerigx.xlsx]Cash Flow - Standardized!R46C37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6" s="4"/>
      </tp>
      <tp>
        <v>3373</v>
        <stp/>
        <stp>##V3_BDHV12</stp>
        <stp>XOM US Equity</stp>
        <stp>CF_FREE_CASH_FLOW</stp>
        <stp>FQ3 2000</stp>
        <stp>FQ3 2000</stp>
        <stp>[FA1_ivyerigx.xlsx]Cash Flow - Standardized!R46C11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6" s="4"/>
      </tp>
      <tp>
        <v>4565</v>
        <stp/>
        <stp>##V3_BDHV12</stp>
        <stp>XOM US Equity</stp>
        <stp>CF_FREE_CASH_FLOW</stp>
        <stp>FQ3 2002</stp>
        <stp>FQ3 2002</stp>
        <stp>[FA1_ivyerigx.xlsx]Cash Flow - Standardized!R46C19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6" s="4"/>
      </tp>
      <tp>
        <v>5234</v>
        <stp/>
        <stp>##V3_BDHV12</stp>
        <stp>XOM US Equity</stp>
        <stp>IS_OPER_INC</stp>
        <stp>FQ1 2000</stp>
        <stp>FQ1 2000</stp>
        <stp>[FA1_ivyerigx.xlsx]Income - Adjusted!R12C9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2346</v>
        <stp/>
        <stp>##V3_BDHV12</stp>
        <stp>XOM US Equity</stp>
        <stp>NI_INCLUDING_MINORITY_INT_RATIO</stp>
        <stp>FQ4 1999</stp>
        <stp>FQ4 1999</stp>
        <stp>[FA1_ivyerigx.xlsx]Income - Adjusted!R22C8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2" s="2"/>
      </tp>
      <tp>
        <v>38.5625</v>
        <stp/>
        <stp>##V3_BDHV12</stp>
        <stp>XOM US Equity</stp>
        <stp>PX_LAST</stp>
        <stp>FQ2 1999</stp>
        <stp>FQ2 1999</stp>
        <stp>[FA1_ivyerigx.xlsx]Stock Value!R6C6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" s="6"/>
      </tp>
      <tp>
        <v>176</v>
        <stp/>
        <stp>##V3_BDHV12</stp>
        <stp>XOM US Equity</stp>
        <stp>MIN_NONCONTROL_INTEREST_CREDITS</stp>
        <stp>FQ4 1999</stp>
        <stp>FQ4 1999</stp>
        <stp>[FA1_ivyerigx.xlsx]Income - Adjusted!R23C8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H23" s="2"/>
      </tp>
      <tp>
        <v>10478</v>
        <stp/>
        <stp>##V3_BDHV12</stp>
        <stp>XOM US Equity</stp>
        <stp>EBIT</stp>
        <stp>FQ1 2005</stp>
        <stp>FQ1 2005</stp>
        <stp>[FA1_ivyerigx.xlsx]Income - Adjusted!R48C29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C48" s="2"/>
      </tp>
      <tp>
        <v>11380</v>
        <stp/>
        <stp>##V3_BDHV12</stp>
        <stp>XOM US Equity</stp>
        <stp>EBIT</stp>
        <stp>FQ4 2004</stp>
        <stp>FQ4 2004</stp>
        <stp>[FA1_ivyerigx.xlsx]Income - Adjusted!R48C28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B48" s="2"/>
      </tp>
      <tp>
        <v>0</v>
        <stp/>
        <stp>##V3_BDHV12</stp>
        <stp>XOM US Equity</stp>
        <stp>CF_DECR_INVEST</stp>
        <stp>FQ4 1999</stp>
        <stp>FQ4 1999</stp>
        <stp>[FA1_ivyerigx.xlsx]Cash Flow - Standardized!R22C8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2" s="4"/>
      </tp>
      <tp>
        <v>3395</v>
        <stp/>
        <stp>##V3_BDHV12</stp>
        <stp>XOM US Equity</stp>
        <stp>BS_ST_BORROW</stp>
        <stp>FQ1 2002</stp>
        <stp>FQ1 2002</stp>
        <stp>[FA1_ivyerigx.xlsx]Bal Sheet - Standardized!R32C17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2" s="3"/>
      </tp>
      <tp>
        <v>2331</v>
        <stp/>
        <stp>##V3_BDHV12</stp>
        <stp>XOM US Equity</stp>
        <stp>BS_ST_BORROW</stp>
        <stp>FQ3 2005</stp>
        <stp>FQ3 2005</stp>
        <stp>[FA1_ivyerigx.xlsx]Bal Sheet - Standardized!R32C31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2" s="3"/>
      </tp>
      <tp>
        <v>74690</v>
        <stp/>
        <stp>##V3_BDHV12</stp>
        <stp>XOM US Equity</stp>
        <stp>TOTAL_EQUITY</stp>
        <stp>FQ3 2002</stp>
        <stp>FQ3 2002</stp>
        <stp>[FA1_ivyerigx.xlsx]Bal Sheet - Standardized!R48C19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8" s="3"/>
      </tp>
      <tp>
        <v>2125</v>
        <stp/>
        <stp>##V3_BDHV12</stp>
        <stp>XOM US Equity</stp>
        <stp>BS_ST_BORROW</stp>
        <stp>FQ3 2006</stp>
        <stp>FQ3 2006</stp>
        <stp>[FA1_ivyerigx.xlsx]Bal Sheet - Standardized!R32C35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2" s="3"/>
      </tp>
      <tp>
        <v>4746</v>
        <stp/>
        <stp>##V3_BDHV12</stp>
        <stp>XOM US Equity</stp>
        <stp>BS_ST_BORROW</stp>
        <stp>FQ2 2004</stp>
        <stp>FQ2 2004</stp>
        <stp>[FA1_ivyerigx.xlsx]Bal Sheet - Standardized!R32C26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2" s="3"/>
      </tp>
      <tp>
        <v>4327</v>
        <stp/>
        <stp>##V3_BDHV12</stp>
        <stp>XOM US Equity</stp>
        <stp>BS_ST_BORROW</stp>
        <stp>FQ2 2003</stp>
        <stp>FQ2 2003</stp>
        <stp>[FA1_ivyerigx.xlsx]Bal Sheet - Standardized!R32C22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2" s="3"/>
      </tp>
      <tp>
        <v>5560</v>
        <stp/>
        <stp>##V3_BDHV12</stp>
        <stp>XOM US Equity</stp>
        <stp>BS_ST_BORROW</stp>
        <stp>FQ1 2001</stp>
        <stp>FQ1 2001</stp>
        <stp>[FA1_ivyerigx.xlsx]Bal Sheet - Standardized!R32C13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2" s="3"/>
      </tp>
      <tp>
        <v>2383</v>
        <stp/>
        <stp>##V3_BDHV12</stp>
        <stp>XOM US Equity</stp>
        <stp>BS_ST_BORROW</stp>
        <stp>FQ4 2007</stp>
        <stp>FQ4 2007</stp>
        <stp>[FA1_ivyerigx.xlsx]Bal Sheet - Standardized!R32C40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2" s="3"/>
      </tp>
      <tp>
        <v>0</v>
        <stp/>
        <stp>##V3_BDHV12</stp>
        <stp>XOM US Equity</stp>
        <stp>BS_OTHER_INV</stp>
        <stp>FQ3 2007</stp>
        <stp>FQ3 2007</stp>
        <stp>[FA1_ivyerigx.xlsx]Bal Sheet - Standardized!R16C39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6" s="3"/>
      </tp>
      <tp>
        <v>2095</v>
        <stp/>
        <stp>##V3_BDHV12</stp>
        <stp>XOM US Equity</stp>
        <stp>BS_ST_BORROW</stp>
        <stp>FQ3 2007</stp>
        <stp>FQ3 2007</stp>
        <stp>[FA1_ivyerigx.xlsx]Bal Sheet - Standardized!R32C39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2" s="3"/>
      </tp>
      <tp>
        <v>0</v>
        <stp/>
        <stp>##V3_BDHV12</stp>
        <stp>XOM US Equity</stp>
        <stp>CF_DECR_INVEST</stp>
        <stp>FQ3 1999</stp>
        <stp>FQ3 1999</stp>
        <stp>[FA1_ivyerigx.xlsx]Cash Flow - Standardized!R22C7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2" s="4"/>
      </tp>
      <tp>
        <v>0</v>
        <stp/>
        <stp>##V3_BDHV12</stp>
        <stp>XOM US Equity</stp>
        <stp>CF_DECR_INVEST</stp>
        <stp>FQ2 1999</stp>
        <stp>FQ2 1999</stp>
        <stp>[FA1_ivyerigx.xlsx]Cash Flow - Standardized!R22C6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2" s="4"/>
      </tp>
      <tp>
        <v>0</v>
        <stp/>
        <stp>##V3_BDHV12</stp>
        <stp>XOM US Equity</stp>
        <stp>CF_DECR_INVEST</stp>
        <stp>FQ1 1999</stp>
        <stp>FQ1 1999</stp>
        <stp>[FA1_ivyerigx.xlsx]Cash Flow - Standardized!R22C5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2" s="4"/>
      </tp>
      <tp>
        <v>0</v>
        <stp/>
        <stp>##V3_BDHV12</stp>
        <stp>XOM US Equity</stp>
        <stp>BS_OTHER_INV</stp>
        <stp>FQ2 2003</stp>
        <stp>FQ2 2003</stp>
        <stp>[FA1_ivyerigx.xlsx]Bal Sheet - Standardized!R16C22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6" s="3"/>
      </tp>
      <tp>
        <v>0</v>
        <stp/>
        <stp>##V3_BDHV12</stp>
        <stp>XOM US Equity</stp>
        <stp>BS_OTHER_INV</stp>
        <stp>FQ1 2001</stp>
        <stp>FQ1 2001</stp>
        <stp>[FA1_ivyerigx.xlsx]Bal Sheet - Standardized!R16C13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6" s="3"/>
      </tp>
      <tp>
        <v>0</v>
        <stp/>
        <stp>##V3_BDHV12</stp>
        <stp>XOM US Equity</stp>
        <stp>BS_OTHER_INV</stp>
        <stp>FQ4 2007</stp>
        <stp>FQ4 2007</stp>
        <stp>[FA1_ivyerigx.xlsx]Bal Sheet - Standardized!R16C40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6" s="3"/>
      </tp>
      <tp>
        <v>68111</v>
        <stp/>
        <stp>##V3_BDHV12</stp>
        <stp>XOM US Equity</stp>
        <stp>TOTAL_EQUITY</stp>
        <stp>FQ3 2000</stp>
        <stp>FQ3 2000</stp>
        <stp>[FA1_ivyerigx.xlsx]Bal Sheet - Standardized!R48C11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8" s="3"/>
      </tp>
      <tp>
        <v>114110</v>
        <stp/>
        <stp>##V3_BDHV12</stp>
        <stp>XOM US Equity</stp>
        <stp>TOTAL_EQUITY</stp>
        <stp>FQ1 2007</stp>
        <stp>FQ1 2007</stp>
        <stp>[FA1_ivyerigx.xlsx]Bal Sheet - Standardized!R48C37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8" s="3"/>
      </tp>
      <tp t="s">
        <v>—</v>
        <stp/>
        <stp>##V3_BDHV12</stp>
        <stp>XOM US Equity</stp>
        <stp>BS_OTHER_INV</stp>
        <stp>FQ3 2006</stp>
        <stp>FQ3 2006</stp>
        <stp>[FA1_ivyerigx.xlsx]Bal Sheet - Standardized!R16C35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6" s="3"/>
      </tp>
      <tp>
        <v>0</v>
        <stp/>
        <stp>##V3_BDHV12</stp>
        <stp>XOM US Equity</stp>
        <stp>BS_OTHER_INV</stp>
        <stp>FQ2 2004</stp>
        <stp>FQ2 2004</stp>
        <stp>[FA1_ivyerigx.xlsx]Bal Sheet - Standardized!R16C26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6" s="3"/>
      </tp>
      <tp>
        <v>73825</v>
        <stp/>
        <stp>##V3_BDHV12</stp>
        <stp>XOM US Equity</stp>
        <stp>TOTAL_EQUITY</stp>
        <stp>FQ3 2001</stp>
        <stp>FQ3 2001</stp>
        <stp>[FA1_ivyerigx.xlsx]Bal Sheet - Standardized!R48C15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8" s="3"/>
      </tp>
      <tp>
        <v>0</v>
        <stp/>
        <stp>##V3_BDHV12</stp>
        <stp>XOM US Equity</stp>
        <stp>CF_DECR_INVEST</stp>
        <stp>FQ3 1998</stp>
        <stp>FQ3 1998</stp>
        <stp>[FA1_ivyerigx.xlsx]Cash Flow - Standardized!R22C3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2" s="4"/>
      </tp>
      <tp>
        <v>0</v>
        <stp/>
        <stp>##V3_BDHV12</stp>
        <stp>XOM US Equity</stp>
        <stp>CF_DECR_INVEST</stp>
        <stp>FQ4 1998</stp>
        <stp>FQ4 1998</stp>
        <stp>[FA1_ivyerigx.xlsx]Cash Flow - Standardized!R22C4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2" s="4"/>
      </tp>
      <tp>
        <v>0</v>
        <stp/>
        <stp>##V3_BDHV12</stp>
        <stp>XOM US Equity</stp>
        <stp>BS_OTHER_INV</stp>
        <stp>FQ3 2005</stp>
        <stp>FQ3 2005</stp>
        <stp>[FA1_ivyerigx.xlsx]Bal Sheet - Standardized!R16C31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6" s="3"/>
      </tp>
      <tp>
        <v>0</v>
        <stp/>
        <stp>##V3_BDHV12</stp>
        <stp>XOM US Equity</stp>
        <stp>BS_OTHER_INV</stp>
        <stp>FQ1 2002</stp>
        <stp>FQ1 2002</stp>
        <stp>[FA1_ivyerigx.xlsx]Bal Sheet - Standardized!R16C17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6" s="3"/>
      </tp>
      <tp>
        <v>112463</v>
        <stp/>
        <stp>##V3_BDHV12</stp>
        <stp>XOM US Equity</stp>
        <stp>TOTAL_EQUITY</stp>
        <stp>FQ1 2006</stp>
        <stp>FQ1 2006</stp>
        <stp>[FA1_ivyerigx.xlsx]Bal Sheet - Standardized!R48C33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8" s="3"/>
      </tp>
      <tp>
        <v>0.21</v>
        <stp/>
        <stp>##V3_BDHV12</stp>
        <stp>XOM US Equity</stp>
        <stp>IS_DIL_EPS_CONT_OPS</stp>
        <stp>FQ1 1999</stp>
        <stp>FQ1 1999</stp>
        <stp>[FA1_ivyerigx.xlsx]Income - Adjusted!R41C5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41" s="2"/>
      </tp>
      <tp>
        <v>0.245</v>
        <stp/>
        <stp>##V3_BDHV12</stp>
        <stp>XOM US Equity</stp>
        <stp>IS_DIL_EPS_CONT_OPS</stp>
        <stp>FQ2 1999</stp>
        <stp>FQ2 1999</stp>
        <stp>[FA1_ivyerigx.xlsx]Income - Adjusted!R41C6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41" s="2"/>
      </tp>
      <tp>
        <v>0.30499999999999999</v>
        <stp/>
        <stp>##V3_BDHV12</stp>
        <stp>XOM US Equity</stp>
        <stp>IS_DIL_EPS_CONT_OPS</stp>
        <stp>FQ3 1999</stp>
        <stp>FQ3 1999</stp>
        <stp>[FA1_ivyerigx.xlsx]Income - Adjusted!R41C7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41" s="2"/>
      </tp>
      <tp>
        <v>4141</v>
        <stp/>
        <stp>##V3_BDHV12</stp>
        <stp>XOM US Equity</stp>
        <stp>IS_OPERATING_EXPN</stp>
        <stp>FQ2 2007</stp>
        <stp>FQ2 2007</stp>
        <stp>[FA1_ivyerigx.xlsx]Income - Adjusted!R10C38</stp>
        <stp>Currency=USD</stp>
        <stp>Period=FQ</stp>
        <stp>BEST_FPERIOD_OVERRIDE=FQ</stp>
        <stp>FILING_STATUS=OR</stp>
        <stp>SCALING_FORMAT=MLN</stp>
        <stp>FA_ADJUSTED=Adjusted</stp>
        <stp>Sort=A</stp>
        <stp>Dates=H</stp>
        <stp>DateFormat=P</stp>
        <stp>Fill=—</stp>
        <stp>Direction=H</stp>
        <stp>UseDPDF=Y</stp>
        <tr r="AL10" s="2"/>
      </tp>
      <tp>
        <v>3305</v>
        <stp/>
        <stp>##V3_BDHV12</stp>
        <stp>XOM US Equity</stp>
        <stp>NI_INCLUDING_MINORITY_INT_RATIO</stp>
        <stp>FQ3 2001</stp>
        <stp>FQ3 2001</stp>
        <stp>[FA1_ivyerigx.xlsx]Income - Adjusted!R22C15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2" s="2"/>
      </tp>
      <tp>
        <v>10094</v>
        <stp/>
        <stp>##V3_BDHV12</stp>
        <stp>XOM US Equity</stp>
        <stp>NI_INCLUDING_MINORITY_INT_RATIO</stp>
        <stp>FQ3 2005</stp>
        <stp>FQ3 2005</stp>
        <stp>[FA1_ivyerigx.xlsx]Income - Adjusted!R22C31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2" s="2"/>
      </tp>
      <tp>
        <v>76</v>
        <stp/>
        <stp>##V3_BDHV12</stp>
        <stp>XOM US Equity</stp>
        <stp>MIN_NONCONTROL_INTEREST_CREDITS</stp>
        <stp>FQ3 2002</stp>
        <stp>FQ3 2002</stp>
        <stp>[FA1_ivyerigx.xlsx]Income - Adjusted!R23C19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3" s="2"/>
      </tp>
      <tp>
        <v>7803</v>
        <stp/>
        <stp>##V3_BDHV12</stp>
        <stp>XOM US Equity</stp>
        <stp>CF_CHNG_NON_CASH_WORK_CAP</stp>
        <stp>FQ1 2008</stp>
        <stp>FQ1 2008</stp>
        <stp>[FA1_ivyerigx.xlsx]Cash Flow - Standardized!R12C41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2" s="4"/>
      </tp>
      <tp>
        <v>-2808</v>
        <stp/>
        <stp>##V3_BDHV12</stp>
        <stp>XOM US Equity</stp>
        <stp>CF_CHNG_NON_CASH_WORK_CAP</stp>
        <stp>FQ4 2001</stp>
        <stp>FQ4 2001</stp>
        <stp>[FA1_ivyerigx.xlsx]Cash Flow - Standardized!R12C16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2" s="4"/>
      </tp>
      <tp>
        <v>4170</v>
        <stp/>
        <stp>##V3_BDHV12</stp>
        <stp>XOM US Equity</stp>
        <stp>EARN_FOR_COMMON</stp>
        <stp>FQ2 2003</stp>
        <stp>FQ2 2003</stp>
        <stp>[FA1_ivyerigx.xlsx]Income - Adjusted!R27C22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7" s="2"/>
      </tp>
      <tp>
        <v>4490</v>
        <stp/>
        <stp>##V3_BDHV12</stp>
        <stp>XOM US Equity</stp>
        <stp>EARN_FOR_COMMON</stp>
        <stp>FQ3 2000</stp>
        <stp>FQ3 2000</stp>
        <stp>[FA1_ivyerigx.xlsx]Income - Adjusted!R27C11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7" s="2"/>
      </tp>
      <tp>
        <v>5440</v>
        <stp/>
        <stp>##V3_BDHV12</stp>
        <stp>XOM US Equity</stp>
        <stp>EARN_FOR_COMMON</stp>
        <stp>FQ1 2004</stp>
        <stp>FQ1 2004</stp>
        <stp>[FA1_ivyerigx.xlsx]Income - Adjusted!R27C25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7" s="2"/>
      </tp>
      <tp>
        <v>-1980</v>
        <stp/>
        <stp>##V3_BDHV12</stp>
        <stp>XOM US Equity</stp>
        <stp>CF_CHNG_NON_CASH_WORK_CAP</stp>
        <stp>FQ4 2000</stp>
        <stp>FQ4 2000</stp>
        <stp>[FA1_ivyerigx.xlsx]Cash Flow - Standardized!R12C12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2" s="4"/>
      </tp>
      <tp>
        <v>0.46</v>
        <stp/>
        <stp>##V3_BDHV12</stp>
        <stp>XOM US Equity</stp>
        <stp>IS_EARN_BEF_XO_ITEMS_PER_SH</stp>
        <stp>FQ3 2001</stp>
        <stp>FQ3 2001</stp>
        <stp>[FA1_ivyerigx.xlsx]Per Share!R15C15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5" s="5"/>
      </tp>
      <tp>
        <v>1.6</v>
        <stp/>
        <stp>##V3_BDHV12</stp>
        <stp>XOM US Equity</stp>
        <stp>IS_EARN_BEF_XO_ITEMS_PER_SH</stp>
        <stp>FQ3 2005</stp>
        <stp>FQ3 2005</stp>
        <stp>[FA1_ivyerigx.xlsx]Per Share!R15C31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5" s="5"/>
      </tp>
      <tp>
        <v>37.968800000000002</v>
        <stp/>
        <stp>##V3_BDHV12</stp>
        <stp>XOM US Equity</stp>
        <stp>PX_OPEN</stp>
        <stp>FQ4 1999</stp>
        <stp>FQ4 1999</stp>
        <stp>[FA1_ivyerigx.xlsx]Stock Value!R8C8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8" s="6"/>
      </tp>
      <tp>
        <v>1292</v>
        <stp/>
        <stp>##V3_BDHV12</stp>
        <stp>XOM US Equity</stp>
        <stp>INVTRY_RAW_MATERIALS</stp>
        <stp>FQ4 2003</stp>
        <stp>FQ4 2003</stp>
        <stp>[FA1_ivyerigx.xlsx]Bal Sheet - Standardized!R13C24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3" s="3"/>
      </tp>
      <tp>
        <v>1241</v>
        <stp/>
        <stp>##V3_BDHV12</stp>
        <stp>XOM US Equity</stp>
        <stp>INVTRY_RAW_MATERIALS</stp>
        <stp>FQ4 2002</stp>
        <stp>FQ4 2002</stp>
        <stp>[FA1_ivyerigx.xlsx]Bal Sheet - Standardized!R13C20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3" s="3"/>
      </tp>
      <tp>
        <v>2348</v>
        <stp/>
        <stp>##V3_BDHV12</stp>
        <stp>XOM US Equity</stp>
        <stp>INVTRY_RAW_MATERIALS</stp>
        <stp>FQ2 2008</stp>
        <stp>FQ2 2008</stp>
        <stp>[FA1_ivyerigx.xlsx]Bal Sheet - Standardized!R13C42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3" s="3"/>
      </tp>
      <tp>
        <v>1351</v>
        <stp/>
        <stp>##V3_BDHV12</stp>
        <stp>XOM US Equity</stp>
        <stp>INVTRY_RAW_MATERIALS</stp>
        <stp>FQ4 2004</stp>
        <stp>FQ4 2004</stp>
        <stp>[FA1_ivyerigx.xlsx]Bal Sheet - Standardized!R13C28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3" s="3"/>
      </tp>
      <tp>
        <v>106582</v>
        <stp/>
        <stp>##V3_BDHV12</stp>
        <stp>XOM US Equity</stp>
        <stp>BS_TOT_NON_CUR_ASSET</stp>
        <stp>FQ1 2002</stp>
        <stp>FQ1 2002</stp>
        <stp>[FA1_ivyerigx.xlsx]Bal Sheet - Standardized!R26C17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6" s="3"/>
      </tp>
      <tp>
        <v>4755</v>
        <stp/>
        <stp>##V3_BDHV12</stp>
        <stp>XOM US Equity</stp>
        <stp>EBITDA</stp>
        <stp>FQ1 2002</stp>
        <stp>FQ1 2002</stp>
        <stp>[FA1_ivyerigx.xlsx]Cash Flow - Standardized!R42C17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2" s="4"/>
      </tp>
      <tp>
        <v>0</v>
        <stp/>
        <stp>##V3_BDHV12</stp>
        <stp>XOM US Equity</stp>
        <stp>CF_NET_CASH_PAID_FOR_AQUIS</stp>
        <stp>FQ1 2004</stp>
        <stp>FQ1 2004</stp>
        <stp>[FA1_ivyerigx.xlsx]Cash Flow - Standardized!R44C25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44" s="4"/>
      </tp>
      <tp t="s">
        <v>—</v>
        <stp/>
        <stp>##V3_BDHV12</stp>
        <stp>XOM US Equity</stp>
        <stp>IS_DEPR_EXP</stp>
        <stp>FQ4 1998</stp>
        <stp>FQ4 1998</stp>
        <stp>[FA1_ivyerigx.xlsx]Income - Adjusted!R56C4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56" s="2"/>
      </tp>
      <tp>
        <v>0</v>
        <stp/>
        <stp>##V3_BDHV12</stp>
        <stp>XOM US Equity</stp>
        <stp>BS_LT_INVEST</stp>
        <stp>FQ1 2007</stp>
        <stp>FQ1 2007</stp>
        <stp>[FA1_ivyerigx.xlsx]Bal Sheet - Standardized!R22C37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2" s="3"/>
      </tp>
      <tp t="s">
        <v>—</v>
        <stp/>
        <stp>##V3_BDHV12</stp>
        <stp>XOM US Equity</stp>
        <stp>CF_DEF_INC_TAX</stp>
        <stp>FQ1 2000</stp>
        <stp>FQ1 2000</stp>
        <stp>[FA1_ivyerigx.xlsx]Cash Flow - Standardized!R10C9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0" s="4"/>
      </tp>
      <tp>
        <v>7118</v>
        <stp/>
        <stp>##V3_BDHV12</stp>
        <stp>XOM US Equity</stp>
        <stp>BS_LT_BORROW</stp>
        <stp>FQ1 2002</stp>
        <stp>FQ1 2002</stp>
        <stp>[FA1_ivyerigx.xlsx]Bal Sheet - Standardized!R36C17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6" s="3"/>
      </tp>
      <tp>
        <v>18736</v>
        <stp/>
        <stp>##V3_BDHV12</stp>
        <stp>XOM US Equity</stp>
        <stp>BS_LT_INVEST</stp>
        <stp>FQ3 2000</stp>
        <stp>FQ3 2000</stp>
        <stp>[FA1_ivyerigx.xlsx]Bal Sheet - Standardized!R22C11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2" s="3"/>
      </tp>
      <tp>
        <v>6126</v>
        <stp/>
        <stp>##V3_BDHV12</stp>
        <stp>XOM US Equity</stp>
        <stp>BS_LT_BORROW</stp>
        <stp>FQ3 2005</stp>
        <stp>FQ3 2005</stp>
        <stp>[FA1_ivyerigx.xlsx]Bal Sheet - Standardized!R36C31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6" s="3"/>
      </tp>
      <tp t="s">
        <v>—</v>
        <stp/>
        <stp>##V3_BDHV12</stp>
        <stp>XOM US Equity</stp>
        <stp>CF_NET_CASH_PAID_FOR_AQUIS</stp>
        <stp>FQ2 2000</stp>
        <stp>FQ2 2000</stp>
        <stp>[FA1_ivyerigx.xlsx]Cash Flow - Standardized!R44C10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44" s="4"/>
      </tp>
      <tp>
        <v>134991</v>
        <stp/>
        <stp>##V3_BDHV12</stp>
        <stp>XOM US Equity</stp>
        <stp>BS_TOT_NON_CUR_ASSET</stp>
        <stp>FQ3 2005</stp>
        <stp>FQ3 2005</stp>
        <stp>[FA1_ivyerigx.xlsx]Bal Sheet - Standardized!R26C31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6" s="3"/>
      </tp>
      <tp>
        <v>0</v>
        <stp/>
        <stp>##V3_BDHV12</stp>
        <stp>XOM US Equity</stp>
        <stp>CF_NET_CASH_PAID_FOR_AQUIS</stp>
        <stp>FQ1 2003</stp>
        <stp>FQ1 2003</stp>
        <stp>[FA1_ivyerigx.xlsx]Cash Flow - Standardized!R44C21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44" s="4"/>
      </tp>
      <tp>
        <v>29131</v>
        <stp/>
        <stp>##V3_BDHV12</stp>
        <stp>XOM US Equity</stp>
        <stp>BS_LT_INVEST</stp>
        <stp>FQ1 2006</stp>
        <stp>FQ1 2006</stp>
        <stp>[FA1_ivyerigx.xlsx]Bal Sheet - Standardized!R22C33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2" s="3"/>
      </tp>
      <tp>
        <v>126739</v>
        <stp/>
        <stp>##V3_BDHV12</stp>
        <stp>XOM US Equity</stp>
        <stp>BS_TOT_NON_CUR_ASSET</stp>
        <stp>FQ2 2004</stp>
        <stp>FQ2 2004</stp>
        <stp>[FA1_ivyerigx.xlsx]Bal Sheet - Standardized!R26C26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6" s="3"/>
      </tp>
      <tp>
        <v>142194</v>
        <stp/>
        <stp>##V3_BDHV12</stp>
        <stp>XOM US Equity</stp>
        <stp>BS_TOT_NON_CUR_ASSET</stp>
        <stp>FQ3 2006</stp>
        <stp>FQ3 2006</stp>
        <stp>[FA1_ivyerigx.xlsx]Bal Sheet - Standardized!R26C35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6" s="3"/>
      </tp>
      <tp>
        <v>15787</v>
        <stp/>
        <stp>##V3_BDHV12</stp>
        <stp>XOM US Equity</stp>
        <stp>EBITDA</stp>
        <stp>FQ1 2006</stp>
        <stp>FQ1 2006</stp>
        <stp>[FA1_ivyerigx.xlsx]Cash Flow - Standardized!R42C33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2" s="4"/>
      </tp>
      <tp>
        <v>16098</v>
        <stp/>
        <stp>##V3_BDHV12</stp>
        <stp>XOM US Equity</stp>
        <stp>EBITDA</stp>
        <stp>FQ4 2006</stp>
        <stp>FQ4 2006</stp>
        <stp>[FA1_ivyerigx.xlsx]Cash Flow - Standardized!R42C36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2" s="4"/>
      </tp>
      <tp>
        <v>6464</v>
        <stp/>
        <stp>##V3_BDHV12</stp>
        <stp>XOM US Equity</stp>
        <stp>BS_LT_BORROW</stp>
        <stp>FQ3 2006</stp>
        <stp>FQ3 2006</stp>
        <stp>[FA1_ivyerigx.xlsx]Bal Sheet - Standardized!R36C35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6" s="3"/>
      </tp>
      <tp>
        <v>5084</v>
        <stp/>
        <stp>##V3_BDHV12</stp>
        <stp>XOM US Equity</stp>
        <stp>BS_LT_BORROW</stp>
        <stp>FQ2 2004</stp>
        <stp>FQ2 2004</stp>
        <stp>[FA1_ivyerigx.xlsx]Bal Sheet - Standardized!R36C26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6" s="3"/>
      </tp>
      <tp>
        <v>7183</v>
        <stp/>
        <stp>##V3_BDHV12</stp>
        <stp>XOM US Equity</stp>
        <stp>BS_LT_BORROW</stp>
        <stp>FQ4 2007</stp>
        <stp>FQ4 2007</stp>
        <stp>[FA1_ivyerigx.xlsx]Bal Sheet - Standardized!R36C40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6" s="3"/>
      </tp>
      <tp>
        <v>5811</v>
        <stp/>
        <stp>##V3_BDHV12</stp>
        <stp>XOM US Equity</stp>
        <stp>BS_LT_BORROW</stp>
        <stp>FQ2 2003</stp>
        <stp>FQ2 2003</stp>
        <stp>[FA1_ivyerigx.xlsx]Bal Sheet - Standardized!R36C22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6" s="3"/>
      </tp>
      <tp>
        <v>7270</v>
        <stp/>
        <stp>##V3_BDHV12</stp>
        <stp>XOM US Equity</stp>
        <stp>BS_LT_BORROW</stp>
        <stp>FQ1 2001</stp>
        <stp>FQ1 2001</stp>
        <stp>[FA1_ivyerigx.xlsx]Bal Sheet - Standardized!R36C13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6" s="3"/>
      </tp>
      <tp>
        <v>106259</v>
        <stp/>
        <stp>##V3_BDHV12</stp>
        <stp>XOM US Equity</stp>
        <stp>BS_TOT_NON_CUR_ASSET</stp>
        <stp>FQ1 2001</stp>
        <stp>FQ1 2001</stp>
        <stp>[FA1_ivyerigx.xlsx]Bal Sheet - Standardized!R26C13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6" s="3"/>
      </tp>
      <tp>
        <v>121037</v>
        <stp/>
        <stp>##V3_BDHV12</stp>
        <stp>XOM US Equity</stp>
        <stp>BS_TOT_NON_CUR_ASSET</stp>
        <stp>FQ2 2003</stp>
        <stp>FQ2 2003</stp>
        <stp>[FA1_ivyerigx.xlsx]Bal Sheet - Standardized!R26C22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6" s="3"/>
      </tp>
      <tp>
        <v>18044</v>
        <stp/>
        <stp>##V3_BDHV12</stp>
        <stp>XOM US Equity</stp>
        <stp>BS_LT_INVEST</stp>
        <stp>FQ3 2001</stp>
        <stp>FQ3 2001</stp>
        <stp>[FA1_ivyerigx.xlsx]Bal Sheet - Standardized!R22C15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2" s="3"/>
      </tp>
      <tp>
        <v>156119</v>
        <stp/>
        <stp>##V3_BDHV12</stp>
        <stp>XOM US Equity</stp>
        <stp>BS_TOT_NON_CUR_ASSET</stp>
        <stp>FQ4 2007</stp>
        <stp>FQ4 2007</stp>
        <stp>[FA1_ivyerigx.xlsx]Bal Sheet - Standardized!R26C40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6" s="3"/>
      </tp>
      <tp t="s">
        <v>—</v>
        <stp/>
        <stp>##V3_BDHV12</stp>
        <stp>XOM US Equity</stp>
        <stp>CF_NET_CASH_PAID_FOR_AQUIS</stp>
        <stp>FQ2 2001</stp>
        <stp>FQ2 2001</stp>
        <stp>[FA1_ivyerigx.xlsx]Cash Flow - Standardized!R44C14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44" s="4"/>
      </tp>
      <tp>
        <v>19471</v>
        <stp/>
        <stp>##V3_BDHV12</stp>
        <stp>XOM US Equity</stp>
        <stp>BS_LT_INVEST</stp>
        <stp>FQ3 2002</stp>
        <stp>FQ3 2002</stp>
        <stp>[FA1_ivyerigx.xlsx]Bal Sheet - Standardized!R22C19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2" s="3"/>
      </tp>
      <tp>
        <v>6896</v>
        <stp/>
        <stp>##V3_BDHV12</stp>
        <stp>XOM US Equity</stp>
        <stp>BS_LT_BORROW</stp>
        <stp>FQ3 2007</stp>
        <stp>FQ3 2007</stp>
        <stp>[FA1_ivyerigx.xlsx]Bal Sheet - Standardized!R36C39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6" s="3"/>
      </tp>
      <tp>
        <v>0</v>
        <stp/>
        <stp>##V3_BDHV12</stp>
        <stp>XOM US Equity</stp>
        <stp>CF_NET_CASH_PAID_FOR_AQUIS</stp>
        <stp>FQ2 2002</stp>
        <stp>FQ2 2002</stp>
        <stp>[FA1_ivyerigx.xlsx]Cash Flow - Standardized!R44C18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44" s="4"/>
      </tp>
      <tp>
        <v>151414</v>
        <stp/>
        <stp>##V3_BDHV12</stp>
        <stp>XOM US Equity</stp>
        <stp>BS_TOT_NON_CUR_ASSET</stp>
        <stp>FQ3 2007</stp>
        <stp>FQ3 2007</stp>
        <stp>[FA1_ivyerigx.xlsx]Bal Sheet - Standardized!R26C39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6" s="3"/>
      </tp>
      <tp t="s">
        <v>—</v>
        <stp/>
        <stp>##V3_BDHV12</stp>
        <stp>XOM US Equity</stp>
        <stp>IS_DEPR_EXP</stp>
        <stp>FQ4 1999</stp>
        <stp>FQ4 1999</stp>
        <stp>[FA1_ivyerigx.xlsx]Income - Adjusted!R56C8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56" s="2"/>
      </tp>
      <tp>
        <v>0</v>
        <stp/>
        <stp>##V3_BDHV12</stp>
        <stp>XOM US Equity</stp>
        <stp>CF_NET_CASH_PAID_FOR_AQUIS</stp>
        <stp>FQ1 2005</stp>
        <stp>FQ1 2005</stp>
        <stp>[FA1_ivyerigx.xlsx]Cash Flow - Standardized!R44C29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44" s="4"/>
      </tp>
      <tp>
        <v>413</v>
        <stp/>
        <stp>##V3_BDHV12</stp>
        <stp>XOM US Equity</stp>
        <stp>DISP_FXD_&amp;_INTANGIBLES_DETAILED</stp>
        <stp>FQ1 2008</stp>
        <stp>FQ1 2008</stp>
        <stp>[FA1_ivyerigx.xlsx]Cash Flow - Standardized!R19C41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9" s="4"/>
      </tp>
      <tp>
        <v>190</v>
        <stp/>
        <stp>##V3_BDHV12</stp>
        <stp>XOM US Equity</stp>
        <stp>DISP_FXD_&amp;_INTANGIBLES_DETAILED</stp>
        <stp>FQ4 2001</stp>
        <stp>FQ4 2001</stp>
        <stp>[FA1_ivyerigx.xlsx]Cash Flow - Standardized!R19C16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9" s="4"/>
      </tp>
      <tp>
        <v>2056</v>
        <stp/>
        <stp>##V3_BDHV12</stp>
        <stp>XOM US Equity</stp>
        <stp>DISP_FXD_&amp;_INTANGIBLES_DETAILED</stp>
        <stp>FQ4 2000</stp>
        <stp>FQ4 2000</stp>
        <stp>[FA1_ivyerigx.xlsx]Cash Flow - Standardized!R19C12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9" s="4"/>
      </tp>
      <tp>
        <v>4543</v>
        <stp/>
        <stp>##V3_BDHV12</stp>
        <stp>XOM US Equity</stp>
        <stp>NI_INCLUDING_MINORITY_INT_RATIO</stp>
        <stp>FQ2 2001</stp>
        <stp>FQ2 2001</stp>
        <stp>[FA1_ivyerigx.xlsx]Income - Adjusted!R22C14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2" s="2"/>
      </tp>
      <tp>
        <v>7839</v>
        <stp/>
        <stp>##V3_BDHV12</stp>
        <stp>XOM US Equity</stp>
        <stp>NI_INCLUDING_MINORITY_INT_RATIO</stp>
        <stp>FQ2 2005</stp>
        <stp>FQ2 2005</stp>
        <stp>[FA1_ivyerigx.xlsx]Income - Adjusted!R22C30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2" s="2"/>
      </tp>
      <tp>
        <v>2105</v>
        <stp/>
        <stp>##V3_BDHV12</stp>
        <stp>XOM US Equity</stp>
        <stp>NI_INCLUDING_MINORITY_INT_RATIO</stp>
        <stp>FQ1 2002</stp>
        <stp>FQ1 2002</stp>
        <stp>[FA1_ivyerigx.xlsx]Income - Adjusted!R22C17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2" s="2"/>
      </tp>
      <tp>
        <v>8582</v>
        <stp/>
        <stp>##V3_BDHV12</stp>
        <stp>XOM US Equity</stp>
        <stp>NI_INCLUDING_MINORITY_INT_RATIO</stp>
        <stp>FQ1 2006</stp>
        <stp>FQ1 2006</stp>
        <stp>[FA1_ivyerigx.xlsx]Income - Adjusted!R22C33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2" s="2"/>
      </tp>
      <tp t="s">
        <v>—</v>
        <stp/>
        <stp>##V3_BDHV12</stp>
        <stp>XOM US Equity</stp>
        <stp>IS_EXPORT_SALES</stp>
        <stp>FQ1 2008</stp>
        <stp>FQ1 2008</stp>
        <stp>[FA1_ivyerigx.xlsx]Income - Adjusted!R55C41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55" s="2"/>
      </tp>
      <tp>
        <v>225</v>
        <stp/>
        <stp>##V3_BDHV12</stp>
        <stp>XOM US Equity</stp>
        <stp>MIN_NONCONTROL_INTEREST_CREDITS</stp>
        <stp>FQ2 2008</stp>
        <stp>FQ2 2008</stp>
        <stp>[FA1_ivyerigx.xlsx]Income - Adjusted!R23C42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3" s="2"/>
      </tp>
      <tp>
        <v>17</v>
        <stp/>
        <stp>##V3_BDHV12</stp>
        <stp>XOM US Equity</stp>
        <stp>MIN_NONCONTROL_INTEREST_CREDITS</stp>
        <stp>FQ2 2002</stp>
        <stp>FQ2 2002</stp>
        <stp>[FA1_ivyerigx.xlsx]Income - Adjusted!R23C18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3" s="2"/>
      </tp>
      <tp>
        <v>10250</v>
        <stp/>
        <stp>##V3_BDHV12</stp>
        <stp>XOM US Equity</stp>
        <stp>EARN_FOR_COMMON</stp>
        <stp>FQ4 2006</stp>
        <stp>FQ4 2006</stp>
        <stp>[FA1_ivyerigx.xlsx]Income - Adjusted!R27C36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7" s="2"/>
      </tp>
      <tp>
        <v>4530</v>
        <stp/>
        <stp>##V3_BDHV12</stp>
        <stp>XOM US Equity</stp>
        <stp>EARN_FOR_COMMON</stp>
        <stp>FQ2 2000</stp>
        <stp>FQ2 2000</stp>
        <stp>[FA1_ivyerigx.xlsx]Income - Adjusted!R27C10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7" s="2"/>
      </tp>
      <tp>
        <v>3650</v>
        <stp/>
        <stp>##V3_BDHV12</stp>
        <stp>XOM US Equity</stp>
        <stp>EARN_FOR_COMMON</stp>
        <stp>FQ3 2003</stp>
        <stp>FQ3 2003</stp>
        <stp>[FA1_ivyerigx.xlsx]Income - Adjusted!R27C23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7" s="2"/>
      </tp>
      <tp>
        <v>9280</v>
        <stp/>
        <stp>##V3_BDHV12</stp>
        <stp>XOM US Equity</stp>
        <stp>EARN_FOR_COMMON</stp>
        <stp>FQ1 2007</stp>
        <stp>FQ1 2007</stp>
        <stp>[FA1_ivyerigx.xlsx]Income - Adjusted!R27C37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7" s="2"/>
      </tp>
      <tp>
        <v>0.64</v>
        <stp/>
        <stp>##V3_BDHV12</stp>
        <stp>XOM US Equity</stp>
        <stp>IS_EARN_BEF_XO_ITEMS_PER_SH</stp>
        <stp>FQ2 2001</stp>
        <stp>FQ2 2001</stp>
        <stp>[FA1_ivyerigx.xlsx]Per Share!R15C14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5" s="5"/>
      </tp>
      <tp>
        <v>1.21</v>
        <stp/>
        <stp>##V3_BDHV12</stp>
        <stp>XOM US Equity</stp>
        <stp>IS_EARN_BEF_XO_ITEMS_PER_SH</stp>
        <stp>FQ2 2005</stp>
        <stp>FQ2 2005</stp>
        <stp>[FA1_ivyerigx.xlsx]Per Share!R15C30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5" s="5"/>
      </tp>
      <tp>
        <v>0.3</v>
        <stp/>
        <stp>##V3_BDHV12</stp>
        <stp>XOM US Equity</stp>
        <stp>IS_EARN_BEF_XO_ITEMS_PER_SH</stp>
        <stp>FQ1 2002</stp>
        <stp>FQ1 2002</stp>
        <stp>[FA1_ivyerigx.xlsx]Per Share!R15C17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5" s="5"/>
      </tp>
      <tp>
        <v>1.38</v>
        <stp/>
        <stp>##V3_BDHV12</stp>
        <stp>XOM US Equity</stp>
        <stp>IS_EARN_BEF_XO_ITEMS_PER_SH</stp>
        <stp>FQ1 2006</stp>
        <stp>FQ1 2006</stp>
        <stp>[FA1_ivyerigx.xlsx]Per Share!R15C33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5" s="5"/>
      </tp>
      <tp>
        <v>0.20499999999999999</v>
        <stp/>
        <stp>##V3_BDHV12</stp>
        <stp>XOM US Equity</stp>
        <stp>EQY_DPS</stp>
        <stp>FQ4 1999</stp>
        <stp>FQ4 1999</stp>
        <stp>[FA1_ivyerigx.xlsx]Per Share!R20C8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0" s="5"/>
      </tp>
      <tp>
        <v>2.0299999999999998</v>
        <stp/>
        <stp>##V3_BDHV12</stp>
        <stp>XOM US Equity</stp>
        <stp>IS_DIL_EPS_CONT_OPS</stp>
        <stp>FQ1 2008</stp>
        <stp>FQ1 2008</stp>
        <stp>[FA1_ivyerigx.xlsx]Income - Adjusted!R41C41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1" s="2"/>
      </tp>
      <tp>
        <v>1469</v>
        <stp/>
        <stp>##V3_BDHV12</stp>
        <stp>XOM US Equity</stp>
        <stp>INVTRY_RAW_MATERIALS</stp>
        <stp>FQ4 2005</stp>
        <stp>FQ4 2005</stp>
        <stp>[FA1_ivyerigx.xlsx]Bal Sheet - Standardized!R13C32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3" s="3"/>
      </tp>
      <tp>
        <v>1735</v>
        <stp/>
        <stp>##V3_BDHV12</stp>
        <stp>XOM US Equity</stp>
        <stp>INVTRY_RAW_MATERIALS</stp>
        <stp>FQ4 2006</stp>
        <stp>FQ4 2006</stp>
        <stp>[FA1_ivyerigx.xlsx]Bal Sheet - Standardized!R13C36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3" s="3"/>
      </tp>
      <tp>
        <v>1.22</v>
        <stp/>
        <stp>##V3_BDHV12</stp>
        <stp>XOM US Equity</stp>
        <stp>IS_DIL_EPS_BEF_XO</stp>
        <stp>FQ1 2005</stp>
        <stp>FQ1 2005</stp>
        <stp>[FA1_ivyerigx.xlsx]Per Share!R18C29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8" s="5"/>
      </tp>
      <tp>
        <v>1.3</v>
        <stp/>
        <stp>##V3_BDHV12</stp>
        <stp>XOM US Equity</stp>
        <stp>IS_DIL_EPS_BEF_XO</stp>
        <stp>FQ4 2004</stp>
        <stp>FQ4 2004</stp>
        <stp>[FA1_ivyerigx.xlsx]Per Share!R18C28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8" s="5"/>
      </tp>
      <tp>
        <v>22943</v>
        <stp/>
        <stp>##V3_BDHV12</stp>
        <stp>XOM US Equity</stp>
        <stp>BS_LT_INVEST</stp>
        <stp>FQ1 2004</stp>
        <stp>FQ1 2004</stp>
        <stp>[FA1_ivyerigx.xlsx]Bal Sheet - Standardized!R22C25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2" s="3"/>
      </tp>
      <tp t="s">
        <v>—</v>
        <stp/>
        <stp>##V3_BDHV12</stp>
        <stp>XOM US Equity</stp>
        <stp>CF_NET_CASH_PAID_FOR_AQUIS</stp>
        <stp>FQ1 2007</stp>
        <stp>FQ1 2007</stp>
        <stp>[FA1_ivyerigx.xlsx]Cash Flow - Standardized!R44C37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44" s="4"/>
      </tp>
      <tp>
        <v>18264</v>
        <stp/>
        <stp>##V3_BDHV12</stp>
        <stp>XOM US Equity</stp>
        <stp>BS_LT_INVEST</stp>
        <stp>FQ2 2000</stp>
        <stp>FQ2 2000</stp>
        <stp>[FA1_ivyerigx.xlsx]Bal Sheet - Standardized!R22C10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2" s="3"/>
      </tp>
      <tp>
        <v>6071</v>
        <stp/>
        <stp>##V3_BDHV12</stp>
        <stp>XOM US Equity</stp>
        <stp>BS_LT_BORROW</stp>
        <stp>FQ2 2005</stp>
        <stp>FQ2 2005</stp>
        <stp>[FA1_ivyerigx.xlsx]Bal Sheet - Standardized!R36C30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6" s="3"/>
      </tp>
      <tp t="s">
        <v>—</v>
        <stp/>
        <stp>##V3_BDHV12</stp>
        <stp>XOM US Equity</stp>
        <stp>CF_NET_CASH_PAID_FOR_AQUIS</stp>
        <stp>FQ3 2000</stp>
        <stp>FQ3 2000</stp>
        <stp>[FA1_ivyerigx.xlsx]Cash Flow - Standardized!R44C11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44" s="4"/>
      </tp>
      <tp>
        <v>132186</v>
        <stp/>
        <stp>##V3_BDHV12</stp>
        <stp>XOM US Equity</stp>
        <stp>BS_TOT_NON_CUR_ASSET</stp>
        <stp>FQ2 2005</stp>
        <stp>FQ2 2005</stp>
        <stp>[FA1_ivyerigx.xlsx]Bal Sheet - Standardized!R26C30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6" s="3"/>
      </tp>
      <tp>
        <v>20426</v>
        <stp/>
        <stp>##V3_BDHV12</stp>
        <stp>XOM US Equity</stp>
        <stp>BS_LT_INVEST</stp>
        <stp>FQ1 2003</stp>
        <stp>FQ1 2003</stp>
        <stp>[FA1_ivyerigx.xlsx]Bal Sheet - Standardized!R22C21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2" s="3"/>
      </tp>
      <tp>
        <v>129498</v>
        <stp/>
        <stp>##V3_BDHV12</stp>
        <stp>XOM US Equity</stp>
        <stp>BS_TOT_NON_CUR_ASSET</stp>
        <stp>FQ3 2004</stp>
        <stp>FQ3 2004</stp>
        <stp>[FA1_ivyerigx.xlsx]Bal Sheet - Standardized!R26C27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6" s="3"/>
      </tp>
      <tp>
        <v>140352</v>
        <stp/>
        <stp>##V3_BDHV12</stp>
        <stp>XOM US Equity</stp>
        <stp>BS_TOT_NON_CUR_ASSET</stp>
        <stp>FQ2 2006</stp>
        <stp>FQ2 2006</stp>
        <stp>[FA1_ivyerigx.xlsx]Bal Sheet - Standardized!R26C34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6" s="3"/>
      </tp>
      <tp t="s">
        <v>—</v>
        <stp/>
        <stp>##V3_BDHV12</stp>
        <stp>XOM US Equity</stp>
        <stp>CF_NET_CASH_PAID_FOR_AQUIS</stp>
        <stp>FQ1 2006</stp>
        <stp>FQ1 2006</stp>
        <stp>[FA1_ivyerigx.xlsx]Cash Flow - Standardized!R44C33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44" s="4"/>
      </tp>
      <tp>
        <v>6393</v>
        <stp/>
        <stp>##V3_BDHV12</stp>
        <stp>XOM US Equity</stp>
        <stp>BS_LT_BORROW</stp>
        <stp>FQ2 2006</stp>
        <stp>FQ2 2006</stp>
        <stp>[FA1_ivyerigx.xlsx]Bal Sheet - Standardized!R36C34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6" s="3"/>
      </tp>
      <tp>
        <v>5196</v>
        <stp/>
        <stp>##V3_BDHV12</stp>
        <stp>XOM US Equity</stp>
        <stp>BS_LT_BORROW</stp>
        <stp>FQ3 2004</stp>
        <stp>FQ3 2004</stp>
        <stp>[FA1_ivyerigx.xlsx]Bal Sheet - Standardized!R36C27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6" s="3"/>
      </tp>
      <tp>
        <v>5615</v>
        <stp/>
        <stp>##V3_BDHV12</stp>
        <stp>XOM US Equity</stp>
        <stp>BS_LT_BORROW</stp>
        <stp>FQ3 2003</stp>
        <stp>FQ3 2003</stp>
        <stp>[FA1_ivyerigx.xlsx]Bal Sheet - Standardized!R36C23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6" s="3"/>
      </tp>
      <tp>
        <v>124029</v>
        <stp/>
        <stp>##V3_BDHV12</stp>
        <stp>XOM US Equity</stp>
        <stp>BS_TOT_NON_CUR_ASSET</stp>
        <stp>FQ3 2003</stp>
        <stp>FQ3 2003</stp>
        <stp>[FA1_ivyerigx.xlsx]Bal Sheet - Standardized!R26C23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6" s="3"/>
      </tp>
      <tp>
        <v>17982</v>
        <stp/>
        <stp>##V3_BDHV12</stp>
        <stp>XOM US Equity</stp>
        <stp>BS_LT_INVEST</stp>
        <stp>FQ2 2001</stp>
        <stp>FQ2 2001</stp>
        <stp>[FA1_ivyerigx.xlsx]Bal Sheet - Standardized!R22C14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2" s="3"/>
      </tp>
      <tp t="s">
        <v>—</v>
        <stp/>
        <stp>##V3_BDHV12</stp>
        <stp>XOM US Equity</stp>
        <stp>CF_NET_CASH_PAID_FOR_AQUIS</stp>
        <stp>FQ3 2001</stp>
        <stp>FQ3 2001</stp>
        <stp>[FA1_ivyerigx.xlsx]Cash Flow - Standardized!R44C15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44" s="4"/>
      </tp>
      <tp>
        <v>18905</v>
        <stp/>
        <stp>##V3_BDHV12</stp>
        <stp>XOM US Equity</stp>
        <stp>BS_LT_INVEST</stp>
        <stp>FQ2 2002</stp>
        <stp>FQ2 2002</stp>
        <stp>[FA1_ivyerigx.xlsx]Bal Sheet - Standardized!R22C18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2" s="3"/>
      </tp>
      <tp>
        <v>6757</v>
        <stp/>
        <stp>##V3_BDHV12</stp>
        <stp>XOM US Equity</stp>
        <stp>BS_LT_BORROW</stp>
        <stp>FQ2 2007</stp>
        <stp>FQ2 2007</stp>
        <stp>[FA1_ivyerigx.xlsx]Bal Sheet - Standardized!R36C38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6" s="3"/>
      </tp>
      <tp>
        <v>0</v>
        <stp/>
        <stp>##V3_BDHV12</stp>
        <stp>XOM US Equity</stp>
        <stp>CF_NET_CASH_PAID_FOR_AQUIS</stp>
        <stp>FQ3 2002</stp>
        <stp>FQ3 2002</stp>
        <stp>[FA1_ivyerigx.xlsx]Cash Flow - Standardized!R44C19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44" s="4"/>
      </tp>
      <tp>
        <v>147595</v>
        <stp/>
        <stp>##V3_BDHV12</stp>
        <stp>XOM US Equity</stp>
        <stp>BS_TOT_NON_CUR_ASSET</stp>
        <stp>FQ2 2007</stp>
        <stp>FQ2 2007</stp>
        <stp>[FA1_ivyerigx.xlsx]Bal Sheet - Standardized!R26C38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6" s="3"/>
      </tp>
      <tp>
        <v>0</v>
        <stp/>
        <stp>##V3_BDHV12</stp>
        <stp>XOM US Equity</stp>
        <stp>BS_LT_INVEST</stp>
        <stp>FQ1 2005</stp>
        <stp>FQ1 2005</stp>
        <stp>[FA1_ivyerigx.xlsx]Bal Sheet - Standardized!R22C29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2" s="3"/>
      </tp>
      <tp>
        <v>16.29</v>
        <stp/>
        <stp>##V3_BDHV12</stp>
        <stp>XOM US Equity</stp>
        <stp>TANG_BOOK_VAL_PER_SH</stp>
        <stp>FQ1 2005</stp>
        <stp>FQ1 2005</stp>
        <stp>[FA1_ivyerigx.xlsx]Per Share!R27C29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27" s="5"/>
      </tp>
      <tp>
        <v>15.8969</v>
        <stp/>
        <stp>##V3_BDHV12</stp>
        <stp>XOM US Equity</stp>
        <stp>TANG_BOOK_VAL_PER_SH</stp>
        <stp>FQ4 2004</stp>
        <stp>FQ4 2004</stp>
        <stp>[FA1_ivyerigx.xlsx]Per Share!R27C28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27" s="5"/>
      </tp>
      <tp>
        <v>10.7254</v>
        <stp/>
        <stp>##V3_BDHV12</stp>
        <stp>XOM US Equity</stp>
        <stp>PX_TO_FREE_CASH_FLOW</stp>
        <stp>FQ2 2008</stp>
        <stp>FQ2 2008</stp>
        <stp>[FA1_ivyerigx.xlsx]Cash Flow - Standardized!R50C42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0" s="4"/>
      </tp>
      <tp>
        <v>10.6662</v>
        <stp/>
        <stp>##V3_BDHV12</stp>
        <stp>XOM US Equity</stp>
        <stp>PX_TO_FREE_CASH_FLOW</stp>
        <stp>FQ1 2008</stp>
        <stp>FQ1 2008</stp>
        <stp>[FA1_ivyerigx.xlsx]Cash Flow - Standardized!R50C41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0" s="4"/>
      </tp>
      <tp>
        <v>25.965199999999999</v>
        <stp/>
        <stp>##V3_BDHV12</stp>
        <stp>XOM US Equity</stp>
        <stp>PX_TO_FREE_CASH_FLOW</stp>
        <stp>FQ3 2002</stp>
        <stp>FQ3 2002</stp>
        <stp>[FA1_ivyerigx.xlsx]Cash Flow - Standardized!R50C19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0" s="4"/>
      </tp>
      <tp>
        <v>42.876899999999999</v>
        <stp/>
        <stp>##V3_BDHV12</stp>
        <stp>XOM US Equity</stp>
        <stp>PX_TO_FREE_CASH_FLOW</stp>
        <stp>FQ2 2002</stp>
        <stp>FQ2 2002</stp>
        <stp>[FA1_ivyerigx.xlsx]Cash Flow - Standardized!R50C18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0" s="4"/>
      </tp>
      <tp>
        <v>11.6212</v>
        <stp/>
        <stp>##V3_BDHV12</stp>
        <stp>XOM US Equity</stp>
        <stp>PX_TO_FREE_CASH_FLOW</stp>
        <stp>FQ4 2004</stp>
        <stp>FQ4 2004</stp>
        <stp>[FA1_ivyerigx.xlsx]Cash Flow - Standardized!R50C28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0" s="4"/>
      </tp>
      <tp t="s">
        <v>—</v>
        <stp/>
        <stp>##V3_BDHV12</stp>
        <stp>XOM US Equity</stp>
        <stp>IS_EXPORT_SALES</stp>
        <stp>FQ2 2008</stp>
        <stp>FQ2 2008</stp>
        <stp>[FA1_ivyerigx.xlsx]Income - Adjusted!R55C42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55" s="2"/>
      </tp>
      <tp>
        <v>282</v>
        <stp/>
        <stp>##V3_BDHV12</stp>
        <stp>XOM US Equity</stp>
        <stp>MIN_NONCONTROL_INTEREST_CREDITS</stp>
        <stp>FQ1 2008</stp>
        <stp>FQ1 2008</stp>
        <stp>[FA1_ivyerigx.xlsx]Income - Adjusted!R23C41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3" s="2"/>
      </tp>
      <tp>
        <v>-2561</v>
        <stp/>
        <stp>##V3_BDHV12</stp>
        <stp>XOM US Equity</stp>
        <stp>CF_CHNG_NON_CASH_WORK_CAP</stp>
        <stp>FQ4 2005</stp>
        <stp>FQ4 2005</stp>
        <stp>[FA1_ivyerigx.xlsx]Cash Flow - Standardized!R12C32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2" s="4"/>
      </tp>
      <tp>
        <v>5680</v>
        <stp/>
        <stp>##V3_BDHV12</stp>
        <stp>XOM US Equity</stp>
        <stp>EARN_FOR_COMMON</stp>
        <stp>FQ3 2004</stp>
        <stp>FQ3 2004</stp>
        <stp>[FA1_ivyerigx.xlsx]Income - Adjusted!R27C27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7" s="2"/>
      </tp>
      <tp>
        <v>10490</v>
        <stp/>
        <stp>##V3_BDHV12</stp>
        <stp>XOM US Equity</stp>
        <stp>EARN_FOR_COMMON</stp>
        <stp>FQ3 2006</stp>
        <stp>FQ3 2006</stp>
        <stp>[FA1_ivyerigx.xlsx]Income - Adjusted!R27C35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7" s="2"/>
      </tp>
      <tp>
        <v>-4299</v>
        <stp/>
        <stp>##V3_BDHV12</stp>
        <stp>XOM US Equity</stp>
        <stp>CF_CHNG_NON_CASH_WORK_CAP</stp>
        <stp>FQ4 2006</stp>
        <stp>FQ4 2006</stp>
        <stp>[FA1_ivyerigx.xlsx]Cash Flow - Standardized!R12C36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2" s="4"/>
      </tp>
      <tp t="s">
        <v>—</v>
        <stp/>
        <stp>##V3_BDHV12</stp>
        <stp>XOM US Equity</stp>
        <stp>NUM_OF_EMPLOYEES</stp>
        <stp>FQ4 1999</stp>
        <stp>FQ4 1999</stp>
        <stp>[FA1_ivyerigx.xlsx]Bal Sheet - Standardized!R65C8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65" s="3"/>
      </tp>
      <tp>
        <v>2.27</v>
        <stp/>
        <stp>##V3_BDHV12</stp>
        <stp>XOM US Equity</stp>
        <stp>IS_DIL_EPS_CONT_OPS</stp>
        <stp>FQ2 2008</stp>
        <stp>FQ2 2008</stp>
        <stp>[FA1_ivyerigx.xlsx]Income - Adjusted!R41C42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1" s="2"/>
      </tp>
      <tp>
        <v>0.39</v>
        <stp/>
        <stp>##V3_BDHV12</stp>
        <stp>XOM US Equity</stp>
        <stp>IS_DIL_EPS_CONT_OPS</stp>
        <stp>FQ2 2002</stp>
        <stp>FQ2 2002</stp>
        <stp>[FA1_ivyerigx.xlsx]Income - Adjusted!R41C18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1" s="2"/>
      </tp>
      <tp>
        <v>0</v>
        <stp/>
        <stp>##V3_BDHV12</stp>
        <stp>XOM US Equity</stp>
        <stp>BS_OPTIONS_GRANTED</stp>
        <stp>FQ1 2008</stp>
        <stp>FQ1 2008</stp>
        <stp>[FA1_ivyerigx.xlsx]Bal Sheet - Standardized!R58C41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58" s="3"/>
      </tp>
      <tp>
        <v>0</v>
        <stp/>
        <stp>##V3_BDHV12</stp>
        <stp>XOM US Equity</stp>
        <stp>BS_OPTIONS_GRANTED</stp>
        <stp>FQ2 2008</stp>
        <stp>FQ2 2008</stp>
        <stp>[FA1_ivyerigx.xlsx]Bal Sheet - Standardized!R58C42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58" s="3"/>
      </tp>
      <tp>
        <v>1.83</v>
        <stp/>
        <stp>##V3_BDHV12</stp>
        <stp>XOM US Equity</stp>
        <stp>IS_DIL_EPS_BEF_XO</stp>
        <stp>FQ2 2007</stp>
        <stp>FQ2 2007</stp>
        <stp>[FA1_ivyerigx.xlsx]Per Share!R18C38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8" s="5"/>
      </tp>
      <tp>
        <v>0</v>
        <stp/>
        <stp>##V3_BDHV12</stp>
        <stp>XOM US Equity</stp>
        <stp>BS_OPTIONS_GRANTED</stp>
        <stp>FQ4 2004</stp>
        <stp>FQ4 2004</stp>
        <stp>[FA1_ivyerigx.xlsx]Bal Sheet - Standardized!R58C28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58" s="3"/>
      </tp>
      <tp>
        <v>0</v>
        <stp/>
        <stp>##V3_BDHV12</stp>
        <stp>XOM US Equity</stp>
        <stp>BS_OPTIONS_GRANTED</stp>
        <stp>FQ2 2002</stp>
        <stp>FQ2 2002</stp>
        <stp>[FA1_ivyerigx.xlsx]Bal Sheet - Standardized!R58C18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58" s="3"/>
      </tp>
      <tp>
        <v>0</v>
        <stp/>
        <stp>##V3_BDHV12</stp>
        <stp>XOM US Equity</stp>
        <stp>BS_OPTIONS_GRANTED</stp>
        <stp>FQ3 2002</stp>
        <stp>FQ3 2002</stp>
        <stp>[FA1_ivyerigx.xlsx]Bal Sheet - Standardized!R58C19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58" s="3"/>
      </tp>
      <tp>
        <v>22885</v>
        <stp/>
        <stp>##V3_BDHV12</stp>
        <stp>XOM US Equity</stp>
        <stp>BS_LT_INVEST</stp>
        <stp>FQ2 2004</stp>
        <stp>FQ2 2004</stp>
        <stp>[FA1_ivyerigx.xlsx]Bal Sheet - Standardized!R22C26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22" s="3"/>
      </tp>
      <tp>
        <v>30472</v>
        <stp/>
        <stp>##V3_BDHV12</stp>
        <stp>XOM US Equity</stp>
        <stp>BS_LT_INVEST</stp>
        <stp>FQ3 2006</stp>
        <stp>FQ3 2006</stp>
        <stp>[FA1_ivyerigx.xlsx]Bal Sheet - Standardized!R22C35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22" s="3"/>
      </tp>
      <tp>
        <v>137528</v>
        <stp/>
        <stp>##V3_BDHV12</stp>
        <stp>XOM US Equity</stp>
        <stp>BS_TOT_NON_CUR_ASSET</stp>
        <stp>FQ1 2006</stp>
        <stp>FQ1 2006</stp>
        <stp>[FA1_ivyerigx.xlsx]Bal Sheet - Standardized!R26C33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26" s="3"/>
      </tp>
      <tp>
        <v>6938</v>
        <stp/>
        <stp>##V3_BDHV12</stp>
        <stp>XOM US Equity</stp>
        <stp>EBITDA</stp>
        <stp>FQ4 2002</stp>
        <stp>FQ4 2002</stp>
        <stp>[FA1_ivyerigx.xlsx]Cash Flow - Standardized!R42C20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2" s="4"/>
      </tp>
      <tp t="s">
        <v>—</v>
        <stp/>
        <stp>##V3_BDHV12</stp>
        <stp>XOM US Equity</stp>
        <stp>CF_NET_CASH_PAID_FOR_AQUIS</stp>
        <stp>FQ2 2006</stp>
        <stp>FQ2 2006</stp>
        <stp>[FA1_ivyerigx.xlsx]Cash Flow - Standardized!R44C34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44" s="4"/>
      </tp>
      <tp>
        <v>0</v>
        <stp/>
        <stp>##V3_BDHV12</stp>
        <stp>XOM US Equity</stp>
        <stp>CF_NET_CASH_PAID_FOR_AQUIS</stp>
        <stp>FQ3 2004</stp>
        <stp>FQ3 2004</stp>
        <stp>[FA1_ivyerigx.xlsx]Cash Flow - Standardized!R44C27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44" s="4"/>
      </tp>
      <tp>
        <v>6255</v>
        <stp/>
        <stp>##V3_BDHV12</stp>
        <stp>XOM US Equity</stp>
        <stp>BS_LT_BORROW</stp>
        <stp>FQ1 2006</stp>
        <stp>FQ1 2006</stp>
        <stp>[FA1_ivyerigx.xlsx]Bal Sheet - Standardized!R36C33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6" s="3"/>
      </tp>
      <tp>
        <v>7240</v>
        <stp/>
        <stp>##V3_BDHV12</stp>
        <stp>XOM US Equity</stp>
        <stp>BS_LT_BORROW</stp>
        <stp>FQ3 2001</stp>
        <stp>FQ3 2001</stp>
        <stp>[FA1_ivyerigx.xlsx]Bal Sheet - Standardized!R36C15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6" s="3"/>
      </tp>
      <tp>
        <v>9804</v>
        <stp/>
        <stp>##V3_BDHV12</stp>
        <stp>XOM US Equity</stp>
        <stp>EBITDA</stp>
        <stp>FQ4 2000</stp>
        <stp>FQ4 2000</stp>
        <stp>[FA1_ivyerigx.xlsx]Cash Flow - Standardized!R42C12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2" s="4"/>
      </tp>
      <tp>
        <v>107577</v>
        <stp/>
        <stp>##V3_BDHV12</stp>
        <stp>XOM US Equity</stp>
        <stp>BS_TOT_NON_CUR_ASSET</stp>
        <stp>FQ3 2001</stp>
        <stp>FQ3 2001</stp>
        <stp>[FA1_ivyerigx.xlsx]Bal Sheet - Standardized!R26C15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26" s="3"/>
      </tp>
      <tp>
        <v>28194</v>
        <stp/>
        <stp>##V3_BDHV12</stp>
        <stp>XOM US Equity</stp>
        <stp>BS_LT_INVEST</stp>
        <stp>FQ4 2007</stp>
        <stp>FQ4 2007</stp>
        <stp>[FA1_ivyerigx.xlsx]Bal Sheet - Standardized!R22C40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22" s="3"/>
      </tp>
      <tp>
        <v>18253</v>
        <stp/>
        <stp>##V3_BDHV12</stp>
        <stp>XOM US Equity</stp>
        <stp>BS_LT_INVEST</stp>
        <stp>FQ1 2001</stp>
        <stp>FQ1 2001</stp>
        <stp>[FA1_ivyerigx.xlsx]Bal Sheet - Standardized!R22C13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22" s="3"/>
      </tp>
      <tp>
        <v>21537</v>
        <stp/>
        <stp>##V3_BDHV12</stp>
        <stp>XOM US Equity</stp>
        <stp>BS_LT_INVEST</stp>
        <stp>FQ2 2003</stp>
        <stp>FQ2 2003</stp>
        <stp>[FA1_ivyerigx.xlsx]Bal Sheet - Standardized!R22C22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22" s="3"/>
      </tp>
      <tp>
        <v>0</v>
        <stp/>
        <stp>##V3_BDHV12</stp>
        <stp>XOM US Equity</stp>
        <stp>CF_NET_CASH_PAID_FOR_AQUIS</stp>
        <stp>FQ3 2003</stp>
        <stp>FQ3 2003</stp>
        <stp>[FA1_ivyerigx.xlsx]Cash Flow - Standardized!R44C23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44" s="4"/>
      </tp>
      <tp>
        <v>17329</v>
        <stp/>
        <stp>##V3_BDHV12</stp>
        <stp>XOM US Equity</stp>
        <stp>BS_LT_INVEST</stp>
        <stp>FQ1 2002</stp>
        <stp>FQ1 2002</stp>
        <stp>[FA1_ivyerigx.xlsx]Bal Sheet - Standardized!R22C17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22" s="3"/>
      </tp>
      <tp>
        <v>6758</v>
        <stp/>
        <stp>##V3_BDHV12</stp>
        <stp>XOM US Equity</stp>
        <stp>BS_LT_BORROW</stp>
        <stp>FQ1 2007</stp>
        <stp>FQ1 2007</stp>
        <stp>[FA1_ivyerigx.xlsx]Bal Sheet - Standardized!R36C37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6" s="3"/>
      </tp>
      <tp>
        <v>114201</v>
        <stp/>
        <stp>##V3_BDHV12</stp>
        <stp>XOM US Equity</stp>
        <stp>BS_TOT_NON_CUR_ASSET</stp>
        <stp>FQ1 2007</stp>
        <stp>FQ1 2007</stp>
        <stp>[FA1_ivyerigx.xlsx]Bal Sheet - Standardized!R26C37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26" s="3"/>
      </tp>
      <tp>
        <v>108803</v>
        <stp/>
        <stp>##V3_BDHV12</stp>
        <stp>XOM US Equity</stp>
        <stp>BS_TOT_NON_CUR_ASSET</stp>
        <stp>FQ3 2000</stp>
        <stp>FQ3 2000</stp>
        <stp>[FA1_ivyerigx.xlsx]Bal Sheet - Standardized!R26C11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26" s="3"/>
      </tp>
      <tp>
        <v>27897</v>
        <stp/>
        <stp>##V3_BDHV12</stp>
        <stp>XOM US Equity</stp>
        <stp>BS_LT_INVEST</stp>
        <stp>FQ3 2005</stp>
        <stp>FQ3 2005</stp>
        <stp>[FA1_ivyerigx.xlsx]Bal Sheet - Standardized!R22C31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22" s="3"/>
      </tp>
      <tp>
        <v>7528</v>
        <stp/>
        <stp>##V3_BDHV12</stp>
        <stp>XOM US Equity</stp>
        <stp>BS_LT_BORROW</stp>
        <stp>FQ3 2000</stp>
        <stp>FQ3 2000</stp>
        <stp>[FA1_ivyerigx.xlsx]Bal Sheet - Standardized!R36C11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6" s="3"/>
      </tp>
      <tp>
        <v>0</v>
        <stp/>
        <stp>##V3_BDHV12</stp>
        <stp>XOM US Equity</stp>
        <stp>CF_NET_CASH_PAID_FOR_AQUIS</stp>
        <stp>FQ2 2005</stp>
        <stp>FQ2 2005</stp>
        <stp>[FA1_ivyerigx.xlsx]Cash Flow - Standardized!R44C30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44" s="4"/>
      </tp>
      <tp>
        <v>112930</v>
        <stp/>
        <stp>##V3_BDHV12</stp>
        <stp>XOM US Equity</stp>
        <stp>BS_TOT_NON_CUR_ASSET</stp>
        <stp>FQ3 2002</stp>
        <stp>FQ3 2002</stp>
        <stp>[FA1_ivyerigx.xlsx]Bal Sheet - Standardized!R26C19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26" s="3"/>
      </tp>
      <tp>
        <v>0</v>
        <stp/>
        <stp>##V3_BDHV12</stp>
        <stp>XOM US Equity</stp>
        <stp>BS_LT_INVEST</stp>
        <stp>FQ3 2007</stp>
        <stp>FQ3 2007</stp>
        <stp>[FA1_ivyerigx.xlsx]Bal Sheet - Standardized!R22C39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22" s="3"/>
      </tp>
      <tp>
        <v>7110</v>
        <stp/>
        <stp>##V3_BDHV12</stp>
        <stp>XOM US Equity</stp>
        <stp>BS_LT_BORROW</stp>
        <stp>FQ3 2002</stp>
        <stp>FQ3 2002</stp>
        <stp>[FA1_ivyerigx.xlsx]Bal Sheet - Standardized!R36C19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6" s="3"/>
      </tp>
      <tp t="s">
        <v>—</v>
        <stp/>
        <stp>##V3_BDHV12</stp>
        <stp>XOM US Equity</stp>
        <stp>CF_NET_CASH_PAID_FOR_AQUIS</stp>
        <stp>FQ2 2007</stp>
        <stp>FQ2 2007</stp>
        <stp>[FA1_ivyerigx.xlsx]Cash Flow - Standardized!R44C38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44" s="4"/>
      </tp>
      <tp>
        <v>20.979099999999999</v>
        <stp/>
        <stp>##V3_BDHV12</stp>
        <stp>XOM US Equity</stp>
        <stp>TANG_BOOK_VAL_PER_SH</stp>
        <stp>FQ2 2007</stp>
        <stp>FQ2 2007</stp>
        <stp>[FA1_ivyerigx.xlsx]Per Share!R27C38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27" s="5"/>
      </tp>
      <tp>
        <v>1456</v>
        <stp/>
        <stp>##V3_BDHV12</stp>
        <stp>XOM US Equity</stp>
        <stp>DISP_FXD_&amp;_INTANGIBLES_DETAILED</stp>
        <stp>FQ4 2005</stp>
        <stp>FQ4 2005</stp>
        <stp>[FA1_ivyerigx.xlsx]Cash Flow - Standardized!R19C32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9" s="4"/>
      </tp>
      <tp>
        <v>2686</v>
        <stp/>
        <stp>##V3_BDHV12</stp>
        <stp>XOM US Equity</stp>
        <stp>DISP_FXD_&amp;_INTANGIBLES_DETAILED</stp>
        <stp>FQ4 2006</stp>
        <stp>FQ4 2006</stp>
        <stp>[FA1_ivyerigx.xlsx]Cash Flow - Standardized!R19C36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9" s="4"/>
      </tp>
      <tp>
        <v>0.28999999999999998</v>
        <stp/>
        <stp>##V3_BDHV12</stp>
        <stp>XOM US Equity</stp>
        <stp>IS_EARN_BEF_XO_ITEMS_PER_SH</stp>
        <stp>FQ3 1998</stp>
        <stp>FQ3 1998</stp>
        <stp>[FA1_ivyerigx.xlsx]Income - Adjusted!R35C3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35" s="2"/>
      </tp>
      <tp>
        <v>0.315</v>
        <stp/>
        <stp>##V3_BDHV12</stp>
        <stp>XOM US Equity</stp>
        <stp>IS_EARN_BEF_XO_ITEMS_PER_SH</stp>
        <stp>FQ4 1998</stp>
        <stp>FQ4 1998</stp>
        <stp>[FA1_ivyerigx.xlsx]Income - Adjusted!R35C4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35" s="2"/>
      </tp>
      <tp>
        <v>11041</v>
        <stp/>
        <stp>##V3_BDHV12</stp>
        <stp>XOM US Equity</stp>
        <stp>NI_INCLUDING_MINORITY_INT_RATIO</stp>
        <stp>FQ4 2005</stp>
        <stp>FQ4 2005</stp>
        <stp>[FA1_ivyerigx.xlsx]Income - Adjusted!R22C32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2" s="2"/>
      </tp>
      <tp>
        <v>11943</v>
        <stp/>
        <stp>##V3_BDHV12</stp>
        <stp>XOM US Equity</stp>
        <stp>NI_INCLUDING_MINORITY_INT_RATIO</stp>
        <stp>FQ4 2007</stp>
        <stp>FQ4 2007</stp>
        <stp>[FA1_ivyerigx.xlsx]Income - Adjusted!R22C40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2" s="2"/>
      </tp>
      <tp>
        <v>6770</v>
        <stp/>
        <stp>##V3_BDHV12</stp>
        <stp>XOM US Equity</stp>
        <stp>NI_INCLUDING_MINORITY_INT_RATIO</stp>
        <stp>FQ4 2003</stp>
        <stp>FQ4 2003</stp>
        <stp>[FA1_ivyerigx.xlsx]Income - Adjusted!R22C24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2" s="2"/>
      </tp>
      <tp>
        <v>2829</v>
        <stp/>
        <stp>##V3_BDHV12</stp>
        <stp>XOM US Equity</stp>
        <stp>NI_INCLUDING_MINORITY_INT_RATIO</stp>
        <stp>FQ4 2001</stp>
        <stp>FQ4 2001</stp>
        <stp>[FA1_ivyerigx.xlsx]Income - Adjusted!R22C16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2" s="2"/>
      </tp>
      <tp>
        <v>-517</v>
        <stp/>
        <stp>##V3_BDHV12</stp>
        <stp>XOM US Equity</stp>
        <stp>CF_CHNG_NON_CASH_WORK_CAP</stp>
        <stp>FQ2 2008</stp>
        <stp>FQ2 2008</stp>
        <stp>[FA1_ivyerigx.xlsx]Cash Flow - Standardized!R12C42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2" s="4"/>
      </tp>
      <tp>
        <v>1494</v>
        <stp/>
        <stp>##V3_BDHV12</stp>
        <stp>XOM US Equity</stp>
        <stp>CF_CHNG_NON_CASH_WORK_CAP</stp>
        <stp>FQ4 2004</stp>
        <stp>FQ4 2004</stp>
        <stp>[FA1_ivyerigx.xlsx]Cash Flow - Standardized!R12C28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2" s="4"/>
      </tp>
      <tp>
        <v>-4721</v>
        <stp/>
        <stp>##V3_BDHV12</stp>
        <stp>XOM US Equity</stp>
        <stp>CF_CHNG_NON_CASH_WORK_CAP</stp>
        <stp>FQ4 2003</stp>
        <stp>FQ4 2003</stp>
        <stp>[FA1_ivyerigx.xlsx]Cash Flow - Standardized!R12C24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2" s="4"/>
      </tp>
      <tp>
        <v>4090</v>
        <stp/>
        <stp>##V3_BDHV12</stp>
        <stp>XOM US Equity</stp>
        <stp>EARN_FOR_COMMON</stp>
        <stp>FQ4 2002</stp>
        <stp>FQ4 2002</stp>
        <stp>[FA1_ivyerigx.xlsx]Income - Adjusted!R27C20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7" s="2"/>
      </tp>
      <tp>
        <v>5220</v>
        <stp/>
        <stp>##V3_BDHV12</stp>
        <stp>XOM US Equity</stp>
        <stp>EARN_FOR_COMMON</stp>
        <stp>FQ4 2000</stp>
        <stp>FQ4 2000</stp>
        <stp>[FA1_ivyerigx.xlsx]Income - Adjusted!R27C12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7" s="2"/>
      </tp>
      <tp>
        <v>5790</v>
        <stp/>
        <stp>##V3_BDHV12</stp>
        <stp>XOM US Equity</stp>
        <stp>EARN_FOR_COMMON</stp>
        <stp>FQ2 2004</stp>
        <stp>FQ2 2004</stp>
        <stp>[FA1_ivyerigx.xlsx]Income - Adjusted!R27C26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7" s="2"/>
      </tp>
      <tp>
        <v>10360</v>
        <stp/>
        <stp>##V3_BDHV12</stp>
        <stp>XOM US Equity</stp>
        <stp>EARN_FOR_COMMON</stp>
        <stp>FQ2 2006</stp>
        <stp>FQ2 2006</stp>
        <stp>[FA1_ivyerigx.xlsx]Income - Adjusted!R27C34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7" s="2"/>
      </tp>
      <tp>
        <v>7040</v>
        <stp/>
        <stp>##V3_BDHV12</stp>
        <stp>XOM US Equity</stp>
        <stp>EARN_FOR_COMMON</stp>
        <stp>FQ1 2003</stp>
        <stp>FQ1 2003</stp>
        <stp>[FA1_ivyerigx.xlsx]Income - Adjusted!R27C21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7" s="2"/>
      </tp>
      <tp>
        <v>5000</v>
        <stp/>
        <stp>##V3_BDHV12</stp>
        <stp>XOM US Equity</stp>
        <stp>EARN_FOR_COMMON</stp>
        <stp>FQ1 2001</stp>
        <stp>FQ1 2001</stp>
        <stp>[FA1_ivyerigx.xlsx]Income - Adjusted!R27C13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7" s="2"/>
      </tp>
      <tp>
        <v>4855.57</v>
        <stp/>
        <stp>##V3_BDHV12</stp>
        <stp>XOM US Equity</stp>
        <stp>EQY_SH_OUT</stp>
        <stp>FQ4 1999</stp>
        <stp>FQ4 1999</stp>
        <stp>[FA1_ivyerigx.xlsx]Stock Value!R13C8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13" s="6"/>
      </tp>
      <tp>
        <v>-758</v>
        <stp/>
        <stp>##V3_BDHV12</stp>
        <stp>XOM US Equity</stp>
        <stp>CF_CHNG_NON_CASH_WORK_CAP</stp>
        <stp>FQ4 2002</stp>
        <stp>FQ4 2002</stp>
        <stp>[FA1_ivyerigx.xlsx]Cash Flow - Standardized!R12C20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2" s="4"/>
      </tp>
      <tp>
        <v>1.72</v>
        <stp/>
        <stp>##V3_BDHV12</stp>
        <stp>XOM US Equity</stp>
        <stp>IS_EARN_BEF_XO_ITEMS_PER_SH</stp>
        <stp>FQ4 2005</stp>
        <stp>FQ4 2005</stp>
        <stp>[FA1_ivyerigx.xlsx]Per Share!R15C32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5" s="5"/>
      </tp>
      <tp>
        <v>2.15</v>
        <stp/>
        <stp>##V3_BDHV12</stp>
        <stp>XOM US Equity</stp>
        <stp>IS_EARN_BEF_XO_ITEMS_PER_SH</stp>
        <stp>FQ4 2007</stp>
        <stp>FQ4 2007</stp>
        <stp>[FA1_ivyerigx.xlsx]Per Share!R15C40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5" s="5"/>
      </tp>
      <tp>
        <v>0.39</v>
        <stp/>
        <stp>##V3_BDHV12</stp>
        <stp>XOM US Equity</stp>
        <stp>IS_EARN_BEF_XO_ITEMS_PER_SH</stp>
        <stp>FQ4 2001</stp>
        <stp>FQ4 2001</stp>
        <stp>[FA1_ivyerigx.xlsx]Per Share!R15C16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5" s="5"/>
      </tp>
      <tp>
        <v>1.01</v>
        <stp/>
        <stp>##V3_BDHV12</stp>
        <stp>XOM US Equity</stp>
        <stp>IS_EARN_BEF_XO_ITEMS_PER_SH</stp>
        <stp>FQ4 2003</stp>
        <stp>FQ4 2003</stp>
        <stp>[FA1_ivyerigx.xlsx]Per Share!R15C24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5" s="5"/>
      </tp>
      <tp>
        <v>1.6112</v>
        <stp/>
        <stp>##V3_BDHV12</stp>
        <stp>XOM US Equity</stp>
        <stp>FREE_CASH_FLOW_PER_SH</stp>
        <stp>FQ1 2005</stp>
        <stp>FQ1 2005</stp>
        <stp>[FA1_ivyerigx.xlsx]Cash Flow - Standardized!R49C29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9" s="4"/>
      </tp>
      <tp>
        <v>1.3559000000000001</v>
        <stp/>
        <stp>##V3_BDHV12</stp>
        <stp>XOM US Equity</stp>
        <stp>FREE_CASH_FLOW_PER_SH</stp>
        <stp>FQ2 2007</stp>
        <stp>FQ2 2007</stp>
        <stp>[FA1_ivyerigx.xlsx]Cash Flow - Standardized!R49C38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9" s="4"/>
      </tp>
      <tp>
        <v>2.0344000000000002</v>
        <stp/>
        <stp>##V3_BDHV12</stp>
        <stp>XOM US Equity</stp>
        <stp>FREE_CASH_FLOW_PER_SH</stp>
        <stp>FQ3 2007</stp>
        <stp>FQ3 2007</stp>
        <stp>[FA1_ivyerigx.xlsx]Cash Flow - Standardized!R49C39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9" s="4"/>
      </tp>
      <tp>
        <v>9.1265000000000001</v>
        <stp/>
        <stp>##V3_BDHV12</stp>
        <stp>XOM US Equity</stp>
        <stp>BOOK_VAL_PER_SH</stp>
        <stp>FQ4 1999</stp>
        <stp>FQ4 1999</stp>
        <stp>[FA1_ivyerigx.xlsx]Per Share!R26C8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26" s="5"/>
      </tp>
      <tp>
        <v>0.44</v>
        <stp/>
        <stp>##V3_BDHV12</stp>
        <stp>XOM US Equity</stp>
        <stp>IS_DIL_EPS_CONT_OPS</stp>
        <stp>FQ3 2002</stp>
        <stp>FQ3 2002</stp>
        <stp>[FA1_ivyerigx.xlsx]Income - Adjusted!R41C19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1" s="2"/>
      </tp>
      <tp>
        <v>10289.272999999999</v>
        <stp/>
        <stp>##V3_BDHV12</stp>
        <stp>XOM US Equity</stp>
        <stp>CF_FREE_CASH_FLOW_FIRM</stp>
        <stp>FQ1 2005</stp>
        <stp>FQ1 2005</stp>
        <stp>[FA1_ivyerigx.xlsx]Cash Flow - Standardized!R47C29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7" s="4"/>
      </tp>
      <tp>
        <v>1161</v>
        <stp/>
        <stp>##V3_BDHV12</stp>
        <stp>XOM US Equity</stp>
        <stp>INVTRY_RAW_MATERIALS</stp>
        <stp>FQ4 2001</stp>
        <stp>FQ4 2001</stp>
        <stp>[FA1_ivyerigx.xlsx]Bal Sheet - Standardized!R13C16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3" s="3"/>
      </tp>
      <tp>
        <v>11169.519700000001</v>
        <stp/>
        <stp>##V3_BDHV12</stp>
        <stp>XOM US Equity</stp>
        <stp>CF_FREE_CASH_FLOW_FIRM</stp>
        <stp>FQ3 2007</stp>
        <stp>FQ3 2007</stp>
        <stp>[FA1_ivyerigx.xlsx]Cash Flow - Standardized!R47C39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47" s="4"/>
      </tp>
      <tp>
        <v>7587.3658999999998</v>
        <stp/>
        <stp>##V3_BDHV12</stp>
        <stp>XOM US Equity</stp>
        <stp>CF_FREE_CASH_FLOW_FIRM</stp>
        <stp>FQ2 2007</stp>
        <stp>FQ2 2007</stp>
        <stp>[FA1_ivyerigx.xlsx]Cash Flow - Standardized!R47C38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47" s="4"/>
      </tp>
      <tp>
        <v>1060</v>
        <stp/>
        <stp>##V3_BDHV12</stp>
        <stp>XOM US Equity</stp>
        <stp>INVTRY_RAW_MATERIALS</stp>
        <stp>FQ4 2000</stp>
        <stp>FQ4 2000</stp>
        <stp>[FA1_ivyerigx.xlsx]Bal Sheet - Standardized!R13C12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3" s="3"/>
      </tp>
      <tp>
        <v>2303</v>
        <stp/>
        <stp>##V3_BDHV12</stp>
        <stp>XOM US Equity</stp>
        <stp>INVTRY_RAW_MATERIALS</stp>
        <stp>FQ1 2008</stp>
        <stp>FQ1 2008</stp>
        <stp>[FA1_ivyerigx.xlsx]Bal Sheet - Standardized!R13C41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3" s="3"/>
      </tp>
      <tp>
        <v>1.7</v>
        <stp/>
        <stp>##V3_BDHV12</stp>
        <stp>XOM US Equity</stp>
        <stp>IS_DIL_EPS_BEF_XO</stp>
        <stp>FQ3 2007</stp>
        <stp>FQ3 2007</stp>
        <stp>[FA1_ivyerigx.xlsx]Per Share!R18C39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8" s="5"/>
      </tp>
      <tp>
        <v>24605</v>
        <stp/>
        <stp>##V3_BDHV12</stp>
        <stp>XOM US Equity</stp>
        <stp>BS_LT_INVEST</stp>
        <stp>FQ3 2004</stp>
        <stp>FQ3 2004</stp>
        <stp>[FA1_ivyerigx.xlsx]Bal Sheet - Standardized!R22C27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22" s="3"/>
      </tp>
      <tp>
        <v>29242</v>
        <stp/>
        <stp>##V3_BDHV12</stp>
        <stp>XOM US Equity</stp>
        <stp>BS_LT_INVEST</stp>
        <stp>FQ2 2006</stp>
        <stp>FQ2 2006</stp>
        <stp>[FA1_ivyerigx.xlsx]Bal Sheet - Standardized!R22C34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22" s="3"/>
      </tp>
      <tp t="s">
        <v>—</v>
        <stp/>
        <stp>##V3_BDHV12</stp>
        <stp>XOM US Equity</stp>
        <stp>CF_NET_CASH_PAID_FOR_AQUIS</stp>
        <stp>FQ3 2006</stp>
        <stp>FQ3 2006</stp>
        <stp>[FA1_ivyerigx.xlsx]Cash Flow - Standardized!R44C35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44" s="4"/>
      </tp>
      <tp>
        <v>0</v>
        <stp/>
        <stp>##V3_BDHV12</stp>
        <stp>XOM US Equity</stp>
        <stp>CF_NET_CASH_PAID_FOR_AQUIS</stp>
        <stp>FQ2 2004</stp>
        <stp>FQ2 2004</stp>
        <stp>[FA1_ivyerigx.xlsx]Cash Flow - Standardized!R44C26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44" s="4"/>
      </tp>
      <tp>
        <v>7289</v>
        <stp/>
        <stp>##V3_BDHV12</stp>
        <stp>XOM US Equity</stp>
        <stp>BS_LT_BORROW</stp>
        <stp>FQ2 2001</stp>
        <stp>FQ2 2001</stp>
        <stp>[FA1_ivyerigx.xlsx]Bal Sheet - Standardized!R36C14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6" s="3"/>
      </tp>
      <tp>
        <v>106338</v>
        <stp/>
        <stp>##V3_BDHV12</stp>
        <stp>XOM US Equity</stp>
        <stp>BS_TOT_NON_CUR_ASSET</stp>
        <stp>FQ2 2001</stp>
        <stp>FQ2 2001</stp>
        <stp>[FA1_ivyerigx.xlsx]Bal Sheet - Standardized!R26C14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26" s="3"/>
      </tp>
      <tp>
        <v>22837</v>
        <stp/>
        <stp>##V3_BDHV12</stp>
        <stp>XOM US Equity</stp>
        <stp>BS_LT_INVEST</stp>
        <stp>FQ3 2003</stp>
        <stp>FQ3 2003</stp>
        <stp>[FA1_ivyerigx.xlsx]Bal Sheet - Standardized!R22C23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22" s="3"/>
      </tp>
      <tp>
        <v>7980</v>
        <stp/>
        <stp>##V3_BDHV12</stp>
        <stp>XOM US Equity</stp>
        <stp>EBITDA</stp>
        <stp>FQ2 2001</stp>
        <stp>FQ2 2001</stp>
        <stp>[FA1_ivyerigx.xlsx]Cash Flow - Standardized!R42C14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2" s="4"/>
      </tp>
      <tp>
        <v>6562</v>
        <stp/>
        <stp>##V3_BDHV12</stp>
        <stp>XOM US Equity</stp>
        <stp>EBITDA</stp>
        <stp>FQ3 2001</stp>
        <stp>FQ3 2001</stp>
        <stp>[FA1_ivyerigx.xlsx]Cash Flow - Standardized!R42C15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2" s="4"/>
      </tp>
      <tp>
        <v>0</v>
        <stp/>
        <stp>##V3_BDHV12</stp>
        <stp>XOM US Equity</stp>
        <stp>CF_NET_CASH_PAID_FOR_AQUIS</stp>
        <stp>FQ2 2003</stp>
        <stp>FQ2 2003</stp>
        <stp>[FA1_ivyerigx.xlsx]Cash Flow - Standardized!R44C22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44" s="4"/>
      </tp>
      <tp t="s">
        <v>—</v>
        <stp/>
        <stp>##V3_BDHV12</stp>
        <stp>XOM US Equity</stp>
        <stp>CF_NET_CASH_PAID_FOR_AQUIS</stp>
        <stp>FQ1 2001</stp>
        <stp>FQ1 2001</stp>
        <stp>[FA1_ivyerigx.xlsx]Cash Flow - Standardized!R44C13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44" s="4"/>
      </tp>
      <tp t="s">
        <v>—</v>
        <stp/>
        <stp>##V3_BDHV12</stp>
        <stp>XOM US Equity</stp>
        <stp>CF_NET_CASH_PAID_FOR_AQUIS</stp>
        <stp>FQ4 2007</stp>
        <stp>FQ4 2007</stp>
        <stp>[FA1_ivyerigx.xlsx]Cash Flow - Standardized!R44C40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44" s="4"/>
      </tp>
      <tp>
        <v>127727</v>
        <stp/>
        <stp>##V3_BDHV12</stp>
        <stp>XOM US Equity</stp>
        <stp>BS_TOT_NON_CUR_ASSET</stp>
        <stp>FQ1 2004</stp>
        <stp>FQ1 2004</stp>
        <stp>[FA1_ivyerigx.xlsx]Bal Sheet - Standardized!R26C25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26" s="3"/>
      </tp>
      <tp>
        <v>0</v>
        <stp/>
        <stp>##V3_BDHV12</stp>
        <stp>XOM US Equity</stp>
        <stp>CF_NET_CASH_PAID_FOR_AQUIS</stp>
        <stp>FQ1 2002</stp>
        <stp>FQ1 2002</stp>
        <stp>[FA1_ivyerigx.xlsx]Cash Flow - Standardized!R44C17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44" s="4"/>
      </tp>
      <tp>
        <v>5135</v>
        <stp/>
        <stp>##V3_BDHV12</stp>
        <stp>XOM US Equity</stp>
        <stp>BS_LT_BORROW</stp>
        <stp>FQ1 2004</stp>
        <stp>FQ1 2004</stp>
        <stp>[FA1_ivyerigx.xlsx]Bal Sheet - Standardized!R36C25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6" s="3"/>
      </tp>
      <tp>
        <v>109567</v>
        <stp/>
        <stp>##V3_BDHV12</stp>
        <stp>XOM US Equity</stp>
        <stp>BS_TOT_NON_CUR_ASSET</stp>
        <stp>FQ2 2000</stp>
        <stp>FQ2 2000</stp>
        <stp>[FA1_ivyerigx.xlsx]Bal Sheet - Standardized!R26C10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26" s="3"/>
      </tp>
      <tp>
        <v>6489</v>
        <stp/>
        <stp>##V3_BDHV12</stp>
        <stp>XOM US Equity</stp>
        <stp>BS_LT_BORROW</stp>
        <stp>FQ1 2003</stp>
        <stp>FQ1 2003</stp>
        <stp>[FA1_ivyerigx.xlsx]Bal Sheet - Standardized!R36C21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6" s="3"/>
      </tp>
      <tp>
        <v>0</v>
        <stp/>
        <stp>##V3_BDHV12</stp>
        <stp>XOM US Equity</stp>
        <stp>BS_LT_INVEST</stp>
        <stp>FQ2 2005</stp>
        <stp>FQ2 2005</stp>
        <stp>[FA1_ivyerigx.xlsx]Bal Sheet - Standardized!R22C30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22" s="3"/>
      </tp>
      <tp>
        <v>117021</v>
        <stp/>
        <stp>##V3_BDHV12</stp>
        <stp>XOM US Equity</stp>
        <stp>BS_TOT_NON_CUR_ASSET</stp>
        <stp>FQ1 2003</stp>
        <stp>FQ1 2003</stp>
        <stp>[FA1_ivyerigx.xlsx]Bal Sheet - Standardized!R26C21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26" s="3"/>
      </tp>
      <tp>
        <v>8009</v>
        <stp/>
        <stp>##V3_BDHV12</stp>
        <stp>XOM US Equity</stp>
        <stp>BS_LT_BORROW</stp>
        <stp>FQ2 2000</stp>
        <stp>FQ2 2000</stp>
        <stp>[FA1_ivyerigx.xlsx]Bal Sheet - Standardized!R36C10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6" s="3"/>
      </tp>
      <tp>
        <v>13772</v>
        <stp/>
        <stp>##V3_BDHV12</stp>
        <stp>XOM US Equity</stp>
        <stp>EBITDA</stp>
        <stp>FQ2 2005</stp>
        <stp>FQ2 2005</stp>
        <stp>[FA1_ivyerigx.xlsx]Cash Flow - Standardized!R42C30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2" s="4"/>
      </tp>
      <tp>
        <v>14826</v>
        <stp/>
        <stp>##V3_BDHV12</stp>
        <stp>XOM US Equity</stp>
        <stp>EBITDA</stp>
        <stp>FQ3 2005</stp>
        <stp>FQ3 2005</stp>
        <stp>[FA1_ivyerigx.xlsx]Cash Flow - Standardized!R42C31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2" s="4"/>
      </tp>
      <tp>
        <v>0</v>
        <stp/>
        <stp>##V3_BDHV12</stp>
        <stp>XOM US Equity</stp>
        <stp>CF_NET_CASH_PAID_FOR_AQUIS</stp>
        <stp>FQ3 2005</stp>
        <stp>FQ3 2005</stp>
        <stp>[FA1_ivyerigx.xlsx]Cash Flow - Standardized!R44C31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44" s="4"/>
      </tp>
      <tp>
        <v>5015</v>
        <stp/>
        <stp>##V3_BDHV12</stp>
        <stp>XOM US Equity</stp>
        <stp>BS_LT_BORROW</stp>
        <stp>FQ1 2005</stp>
        <stp>FQ1 2005</stp>
        <stp>[FA1_ivyerigx.xlsx]Bal Sheet - Standardized!R36C29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6" s="3"/>
      </tp>
      <tp>
        <v>132662</v>
        <stp/>
        <stp>##V3_BDHV12</stp>
        <stp>XOM US Equity</stp>
        <stp>BS_TOT_NON_CUR_ASSET</stp>
        <stp>FQ1 2005</stp>
        <stp>FQ1 2005</stp>
        <stp>[FA1_ivyerigx.xlsx]Bal Sheet - Standardized!R26C29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26" s="3"/>
      </tp>
      <tp>
        <v>112095</v>
        <stp/>
        <stp>##V3_BDHV12</stp>
        <stp>XOM US Equity</stp>
        <stp>BS_TOT_NON_CUR_ASSET</stp>
        <stp>FQ2 2002</stp>
        <stp>FQ2 2002</stp>
        <stp>[FA1_ivyerigx.xlsx]Bal Sheet - Standardized!R26C18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26" s="3"/>
      </tp>
      <tp>
        <v>0</v>
        <stp/>
        <stp>##V3_BDHV12</stp>
        <stp>XOM US Equity</stp>
        <stp>BS_LT_INVEST</stp>
        <stp>FQ2 2007</stp>
        <stp>FQ2 2007</stp>
        <stp>[FA1_ivyerigx.xlsx]Bal Sheet - Standardized!R22C38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22" s="3"/>
      </tp>
      <tp>
        <v>7607</v>
        <stp/>
        <stp>##V3_BDHV12</stp>
        <stp>XOM US Equity</stp>
        <stp>BS_LT_BORROW</stp>
        <stp>FQ2 2002</stp>
        <stp>FQ2 2002</stp>
        <stp>[FA1_ivyerigx.xlsx]Bal Sheet - Standardized!R36C18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6" s="3"/>
      </tp>
      <tp t="s">
        <v>—</v>
        <stp/>
        <stp>##V3_BDHV12</stp>
        <stp>XOM US Equity</stp>
        <stp>CF_NET_CASH_PAID_FOR_AQUIS</stp>
        <stp>FQ3 2007</stp>
        <stp>FQ3 2007</stp>
        <stp>[FA1_ivyerigx.xlsx]Cash Flow - Standardized!R44C39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44" s="4"/>
      </tp>
      <tp>
        <v>21.7102</v>
        <stp/>
        <stp>##V3_BDHV12</stp>
        <stp>XOM US Equity</stp>
        <stp>TANG_BOOK_VAL_PER_SH</stp>
        <stp>FQ3 2007</stp>
        <stp>FQ3 2007</stp>
        <stp>[FA1_ivyerigx.xlsx]Per Share!R27C39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27" s="5"/>
      </tp>
      <tp>
        <v>802</v>
        <stp/>
        <stp>##V3_BDHV12</stp>
        <stp>XOM US Equity</stp>
        <stp>DISP_FXD_&amp;_INTANGIBLES_DETAILED</stp>
        <stp>FQ4 2004</stp>
        <stp>FQ4 2004</stp>
        <stp>[FA1_ivyerigx.xlsx]Cash Flow - Standardized!R19C28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9" s="4"/>
      </tp>
      <tp>
        <v>1159</v>
        <stp/>
        <stp>##V3_BDHV12</stp>
        <stp>XOM US Equity</stp>
        <stp>DISP_FXD_&amp;_INTANGIBLES_DETAILED</stp>
        <stp>FQ2 2008</stp>
        <stp>FQ2 2008</stp>
        <stp>[FA1_ivyerigx.xlsx]Cash Flow - Standardized!R19C42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9" s="4"/>
      </tp>
      <tp>
        <v>469</v>
        <stp/>
        <stp>##V3_BDHV12</stp>
        <stp>XOM US Equity</stp>
        <stp>DISP_FXD_&amp;_INTANGIBLES_DETAILED</stp>
        <stp>FQ4 2003</stp>
        <stp>FQ4 2003</stp>
        <stp>[FA1_ivyerigx.xlsx]Cash Flow - Standardized!R19C24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9" s="4"/>
      </tp>
      <tp>
        <v>1734</v>
        <stp/>
        <stp>##V3_BDHV12</stp>
        <stp>XOM US Equity</stp>
        <stp>DISP_FXD_&amp;_INTANGIBLES_DETAILED</stp>
        <stp>FQ4 2002</stp>
        <stp>FQ4 2002</stp>
        <stp>[FA1_ivyerigx.xlsx]Cash Flow - Standardized!R19C20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9" s="4"/>
      </tp>
      <tp>
        <v>3751</v>
        <stp/>
        <stp>##V3_BDHV12</stp>
        <stp>XOM US Equity</stp>
        <stp>NI_INCLUDING_MINORITY_INT_RATIO</stp>
        <stp>FQ3 2003</stp>
        <stp>FQ3 2003</stp>
        <stp>[FA1_ivyerigx.xlsx]Income - Adjusted!R22C23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2" s="2"/>
      </tp>
      <tp>
        <v>4640</v>
        <stp/>
        <stp>##V3_BDHV12</stp>
        <stp>XOM US Equity</stp>
        <stp>NI_INCLUDING_MINORITY_INT_RATIO</stp>
        <stp>FQ2 2000</stp>
        <stp>FQ2 2000</stp>
        <stp>[FA1_ivyerigx.xlsx]Income - Adjusted!R22C10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2" s="2"/>
      </tp>
      <tp>
        <v>9530</v>
        <stp/>
        <stp>##V3_BDHV12</stp>
        <stp>XOM US Equity</stp>
        <stp>NI_INCLUDING_MINORITY_INT_RATIO</stp>
        <stp>FQ1 2007</stp>
        <stp>FQ1 2007</stp>
        <stp>[FA1_ivyerigx.xlsx]Income - Adjusted!R22C37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2" s="2"/>
      </tp>
      <tp>
        <v>10574</v>
        <stp/>
        <stp>##V3_BDHV12</stp>
        <stp>XOM US Equity</stp>
        <stp>NI_INCLUDING_MINORITY_INT_RATIO</stp>
        <stp>FQ4 2006</stp>
        <stp>FQ4 2006</stp>
        <stp>[FA1_ivyerigx.xlsx]Income - Adjusted!R22C36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2" s="2"/>
      </tp>
      <tp>
        <v>188</v>
        <stp/>
        <stp>##V3_BDHV12</stp>
        <stp>XOM US Equity</stp>
        <stp>MIN_NONCONTROL_INTEREST_CREDITS</stp>
        <stp>FQ2 2007</stp>
        <stp>FQ2 2007</stp>
        <stp>[FA1_ivyerigx.xlsx]Income - Adjusted!R23C38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3" s="2"/>
      </tp>
      <tp>
        <v>-2209</v>
        <stp/>
        <stp>##V3_BDHV12</stp>
        <stp>XOM US Equity</stp>
        <stp>CF_CHNG_NON_CASH_WORK_CAP</stp>
        <stp>FQ2 2007</stp>
        <stp>FQ2 2007</stp>
        <stp>[FA1_ivyerigx.xlsx]Cash Flow - Standardized!R12C38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2" s="4"/>
      </tp>
      <tp>
        <v>2037</v>
        <stp/>
        <stp>##V3_BDHV12</stp>
        <stp>XOM US Equity</stp>
        <stp>CF_CHNG_NON_CASH_WORK_CAP</stp>
        <stp>FQ3 2003</stp>
        <stp>FQ3 2003</stp>
        <stp>[FA1_ivyerigx.xlsx]Cash Flow - Standardized!R12C23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2" s="4"/>
      </tp>
      <tp>
        <v>7640</v>
        <stp/>
        <stp>##V3_BDHV12</stp>
        <stp>XOM US Equity</stp>
        <stp>EARN_FOR_COMMON</stp>
        <stp>FQ2 2005</stp>
        <stp>FQ2 2005</stp>
        <stp>[FA1_ivyerigx.xlsx]Income - Adjusted!R27C30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7" s="2"/>
      </tp>
      <tp>
        <v>4460</v>
        <stp/>
        <stp>##V3_BDHV12</stp>
        <stp>XOM US Equity</stp>
        <stp>EARN_FOR_COMMON</stp>
        <stp>FQ2 2001</stp>
        <stp>FQ2 2001</stp>
        <stp>[FA1_ivyerigx.xlsx]Income - Adjusted!R27C14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7" s="2"/>
      </tp>
      <tp>
        <v>8400</v>
        <stp/>
        <stp>##V3_BDHV12</stp>
        <stp>XOM US Equity</stp>
        <stp>EARN_FOR_COMMON</stp>
        <stp>FQ1 2006</stp>
        <stp>FQ1 2006</stp>
        <stp>[FA1_ivyerigx.xlsx]Income - Adjusted!R27C33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7" s="2"/>
      </tp>
      <tp>
        <v>2090</v>
        <stp/>
        <stp>##V3_BDHV12</stp>
        <stp>XOM US Equity</stp>
        <stp>EARN_FOR_COMMON</stp>
        <stp>FQ1 2002</stp>
        <stp>FQ1 2002</stp>
        <stp>[FA1_ivyerigx.xlsx]Income - Adjusted!R27C17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7" s="2"/>
      </tp>
      <tp>
        <v>1132</v>
        <stp/>
        <stp>##V3_BDHV12</stp>
        <stp>XOM US Equity</stp>
        <stp>CF_CHNG_NON_CASH_WORK_CAP</stp>
        <stp>FQ3 2004</stp>
        <stp>FQ3 2004</stp>
        <stp>[FA1_ivyerigx.xlsx]Cash Flow - Standardized!R12C27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2" s="4"/>
      </tp>
      <tp>
        <v>-2255</v>
        <stp/>
        <stp>##V3_BDHV12</stp>
        <stp>XOM US Equity</stp>
        <stp>CF_CHNG_NON_CASH_WORK_CAP</stp>
        <stp>FQ2 2006</stp>
        <stp>FQ2 2006</stp>
        <stp>[FA1_ivyerigx.xlsx]Cash Flow - Standardized!R12C34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2" s="4"/>
      </tp>
      <tp>
        <v>-976</v>
        <stp/>
        <stp>##V3_BDHV12</stp>
        <stp>XOM US Equity</stp>
        <stp>CF_CHNG_NON_CASH_WORK_CAP</stp>
        <stp>FQ2 2005</stp>
        <stp>FQ2 2005</stp>
        <stp>[FA1_ivyerigx.xlsx]Cash Flow - Standardized!R12C30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2" s="4"/>
      </tp>
      <tp>
        <v>1.77</v>
        <stp/>
        <stp>##V3_BDHV12</stp>
        <stp>XOM US Equity</stp>
        <stp>IS_EARN_BEF_XO_ITEMS_PER_SH</stp>
        <stp>FQ4 2006</stp>
        <stp>FQ4 2006</stp>
        <stp>[FA1_ivyerigx.xlsx]Per Share!R15C36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5" s="5"/>
      </tp>
      <tp>
        <v>0.57999999999999996</v>
        <stp/>
        <stp>##V3_BDHV12</stp>
        <stp>XOM US Equity</stp>
        <stp>IS_EARN_BEF_XO_ITEMS_PER_SH</stp>
        <stp>FQ2 2000</stp>
        <stp>FQ2 2000</stp>
        <stp>[FA1_ivyerigx.xlsx]Per Share!R15C10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5" s="5"/>
      </tp>
      <tp>
        <v>0.55000000000000004</v>
        <stp/>
        <stp>##V3_BDHV12</stp>
        <stp>XOM US Equity</stp>
        <stp>IS_EARN_BEF_XO_ITEMS_PER_SH</stp>
        <stp>FQ3 2003</stp>
        <stp>FQ3 2003</stp>
        <stp>[FA1_ivyerigx.xlsx]Per Share!R15C23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5" s="5"/>
      </tp>
      <tp>
        <v>1.6400000000000001</v>
        <stp/>
        <stp>##V3_BDHV12</stp>
        <stp>XOM US Equity</stp>
        <stp>IS_EARN_BEF_XO_ITEMS_PER_SH</stp>
        <stp>FQ1 2007</stp>
        <stp>FQ1 2007</stp>
        <stp>[FA1_ivyerigx.xlsx]Per Share!R15C37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5" s="5"/>
      </tp>
      <tp>
        <v>1.1499999999999999</v>
        <stp/>
        <stp>##V3_BDHV12</stp>
        <stp>XOM US Equity</stp>
        <stp>IS_DIL_EPS_CONT_OPS</stp>
        <stp>FQ1 2005</stp>
        <stp>FQ1 2005</stp>
        <stp>[FA1_ivyerigx.xlsx]Income - Adjusted!R41C29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41" s="2"/>
      </tp>
      <tp>
        <v>1.3</v>
        <stp/>
        <stp>##V3_BDHV12</stp>
        <stp>XOM US Equity</stp>
        <stp>IS_DIL_EPS_CONT_OPS</stp>
        <stp>FQ4 2004</stp>
        <stp>FQ4 2004</stp>
        <stp>[FA1_ivyerigx.xlsx]Income - Adjusted!R41C28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1" s="2"/>
      </tp>
      <tp>
        <v>1846</v>
        <stp/>
        <stp>##V3_BDHV12</stp>
        <stp>XOM US Equity</stp>
        <stp>INVTRY_RAW_MATERIALS</stp>
        <stp>FQ1 2007</stp>
        <stp>FQ1 2007</stp>
        <stp>[FA1_ivyerigx.xlsx]Bal Sheet - Standardized!R13C37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3" s="3"/>
      </tp>
      <tp>
        <v>1094</v>
        <stp/>
        <stp>##V3_BDHV12</stp>
        <stp>XOM US Equity</stp>
        <stp>INVTRY_RAW_MATERIALS</stp>
        <stp>FQ3 2000</stp>
        <stp>FQ3 2000</stp>
        <stp>[FA1_ivyerigx.xlsx]Bal Sheet - Standardized!R13C11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3" s="3"/>
      </tp>
      <tp>
        <v>1536</v>
        <stp/>
        <stp>##V3_BDHV12</stp>
        <stp>XOM US Equity</stp>
        <stp>INVTRY_RAW_MATERIALS</stp>
        <stp>FQ1 2006</stp>
        <stp>FQ1 2006</stp>
        <stp>[FA1_ivyerigx.xlsx]Bal Sheet - Standardized!R13C33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3" s="3"/>
      </tp>
      <tp>
        <v>1145</v>
        <stp/>
        <stp>##V3_BDHV12</stp>
        <stp>XOM US Equity</stp>
        <stp>INVTRY_RAW_MATERIALS</stp>
        <stp>FQ3 2001</stp>
        <stp>FQ3 2001</stp>
        <stp>[FA1_ivyerigx.xlsx]Bal Sheet - Standardized!R13C15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3" s="3"/>
      </tp>
      <tp>
        <v>1284</v>
        <stp/>
        <stp>##V3_BDHV12</stp>
        <stp>XOM US Equity</stp>
        <stp>INVTRY_RAW_MATERIALS</stp>
        <stp>FQ3 2002</stp>
        <stp>FQ3 2002</stp>
        <stp>[FA1_ivyerigx.xlsx]Bal Sheet - Standardized!R13C19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3" s="3"/>
      </tp>
      <tp>
        <v>2.0299999999999998</v>
        <stp/>
        <stp>##V3_BDHV12</stp>
        <stp>XOM US Equity</stp>
        <stp>IS_DIL_EPS_BEF_XO</stp>
        <stp>FQ1 2008</stp>
        <stp>FQ1 2008</stp>
        <stp>[FA1_ivyerigx.xlsx]Per Share!R18C41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8" s="5"/>
      </tp>
      <tp>
        <v>1104</v>
        <stp/>
        <stp>##V3_BDHV12</stp>
        <stp>XOM US Equity</stp>
        <stp>BS_LT_INVEST</stp>
        <stp>FQ4 2003</stp>
        <stp>FQ4 2003</stp>
        <stp>[FA1_ivyerigx.xlsx]Bal Sheet - Standardized!R22C24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2" s="3"/>
      </tp>
      <tp t="s">
        <v>—</v>
        <stp/>
        <stp>##V3_BDHV12</stp>
        <stp>XOM US Equity</stp>
        <stp>CF_NET_CASH_PAID_FOR_AQUIS</stp>
        <stp>FQ4 2005</stp>
        <stp>FQ4 2005</stp>
        <stp>[FA1_ivyerigx.xlsx]Cash Flow - Standardized!R44C32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44" s="4"/>
      </tp>
      <tp>
        <v>18314</v>
        <stp/>
        <stp>##V3_BDHV12</stp>
        <stp>XOM US Equity</stp>
        <stp>EBITDA</stp>
        <stp>FQ2 2006</stp>
        <stp>FQ2 2006</stp>
        <stp>[FA1_ivyerigx.xlsx]Cash Flow - Standardized!R42C34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2" s="4"/>
      </tp>
      <tp>
        <v>18156</v>
        <stp/>
        <stp>##V3_BDHV12</stp>
        <stp>XOM US Equity</stp>
        <stp>EBITDA</stp>
        <stp>FQ3 2006</stp>
        <stp>FQ3 2006</stp>
        <stp>[FA1_ivyerigx.xlsx]Cash Flow - Standardized!R42C35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2" s="4"/>
      </tp>
      <tp t="s">
        <v>—</v>
        <stp/>
        <stp>##V3_BDHV12</stp>
        <stp>XOM US Equity</stp>
        <stp>CF_NET_CASH_PAID_FOR_AQUIS</stp>
        <stp>FQ4 2006</stp>
        <stp>FQ4 2006</stp>
        <stp>[FA1_ivyerigx.xlsx]Cash Flow - Standardized!R44C36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44" s="4"/>
      </tp>
      <tp>
        <v>1164</v>
        <stp/>
        <stp>##V3_BDHV12</stp>
        <stp>XOM US Equity</stp>
        <stp>BS_LT_INVEST</stp>
        <stp>FQ4 2002</stp>
        <stp>FQ4 2002</stp>
        <stp>[FA1_ivyerigx.xlsx]Bal Sheet - Standardized!R22C20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2" s="3"/>
      </tp>
      <tp>
        <v>9995</v>
        <stp/>
        <stp>##V3_BDHV12</stp>
        <stp>XOM US Equity</stp>
        <stp>EBITDA</stp>
        <stp>FQ1 2004</stp>
        <stp>FQ1 2004</stp>
        <stp>[FA1_ivyerigx.xlsx]Cash Flow - Standardized!R42C25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2" s="4"/>
      </tp>
      <tp>
        <v>11102</v>
        <stp/>
        <stp>##V3_BDHV12</stp>
        <stp>XOM US Equity</stp>
        <stp>EBITDA</stp>
        <stp>FQ3 2004</stp>
        <stp>FQ3 2004</stp>
        <stp>[FA1_ivyerigx.xlsx]Cash Flow - Standardized!R42C27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2" s="4"/>
      </tp>
      <tp>
        <v>10549</v>
        <stp/>
        <stp>##V3_BDHV12</stp>
        <stp>XOM US Equity</stp>
        <stp>EBITDA</stp>
        <stp>FQ2 2004</stp>
        <stp>FQ2 2004</stp>
        <stp>[FA1_ivyerigx.xlsx]Cash Flow - Standardized!R42C26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2" s="4"/>
      </tp>
      <tp>
        <v>2863</v>
        <stp/>
        <stp>##V3_BDHV12</stp>
        <stp>XOM US Equity</stp>
        <stp>BS_LT_INVEST</stp>
        <stp>FQ4 2004</stp>
        <stp>FQ4 2004</stp>
        <stp>[FA1_ivyerigx.xlsx]Bal Sheet - Standardized!R22C28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2" s="3"/>
      </tp>
      <tp>
        <v>37851</v>
        <stp/>
        <stp>##V3_BDHV12</stp>
        <stp>XOM US Equity</stp>
        <stp>BS_LT_INVEST</stp>
        <stp>FQ2 2008</stp>
        <stp>FQ2 2008</stp>
        <stp>[FA1_ivyerigx.xlsx]Bal Sheet - Standardized!R22C42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2" s="3"/>
      </tp>
      <tp>
        <v>23.308499999999999</v>
        <stp/>
        <stp>##V3_BDHV12</stp>
        <stp>XOM US Equity</stp>
        <stp>TANG_BOOK_VAL_PER_SH</stp>
        <stp>FQ1 2008</stp>
        <stp>FQ1 2008</stp>
        <stp>[FA1_ivyerigx.xlsx]Per Share!R27C41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27" s="5"/>
      </tp>
      <tp>
        <v>1135</v>
        <stp/>
        <stp>##V3_BDHV12</stp>
        <stp>XOM US Equity</stp>
        <stp>DISP_FXD_&amp;_INTANGIBLES_DETAILED</stp>
        <stp>FQ2 2007</stp>
        <stp>FQ2 2007</stp>
        <stp>[FA1_ivyerigx.xlsx]Cash Flow - Standardized!R19C38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9" s="4"/>
      </tp>
      <tp>
        <v>570</v>
        <stp/>
        <stp>##V3_BDHV12</stp>
        <stp>XOM US Equity</stp>
        <stp>DISP_FXD_&amp;_INTANGIBLES_DETAILED</stp>
        <stp>FQ3 2004</stp>
        <stp>FQ3 2004</stp>
        <stp>[FA1_ivyerigx.xlsx]Cash Flow - Standardized!R19C27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9" s="4"/>
      </tp>
      <tp>
        <v>0</v>
        <stp/>
        <stp>##V3_BDHV12</stp>
        <stp>XOM US Equity</stp>
        <stp>DISP_FXD_&amp;_INTANGIBLES_DETAILED</stp>
        <stp>FQ2 2006</stp>
        <stp>FQ2 2006</stp>
        <stp>[FA1_ivyerigx.xlsx]Cash Flow - Standardized!R19C34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9" s="4"/>
      </tp>
      <tp>
        <v>240</v>
        <stp/>
        <stp>##V3_BDHV12</stp>
        <stp>XOM US Equity</stp>
        <stp>DISP_FXD_&amp;_INTANGIBLES_DETAILED</stp>
        <stp>FQ3 2003</stp>
        <stp>FQ3 2003</stp>
        <stp>[FA1_ivyerigx.xlsx]Cash Flow - Standardized!R19C23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9" s="4"/>
      </tp>
      <tp>
        <v>12.1577</v>
        <stp/>
        <stp>##V3_BDHV12</stp>
        <stp>XOM US Equity</stp>
        <stp>PX_TO_FREE_CASH_FLOW</stp>
        <stp>FQ1 2005</stp>
        <stp>FQ1 2005</stp>
        <stp>[FA1_ivyerigx.xlsx]Cash Flow - Standardized!R50C29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0" s="4"/>
      </tp>
      <tp>
        <v>2029</v>
        <stp/>
        <stp>##V3_BDHV12</stp>
        <stp>XOM US Equity</stp>
        <stp>DISP_FXD_&amp;_INTANGIBLES_DETAILED</stp>
        <stp>FQ2 2005</stp>
        <stp>FQ2 2005</stp>
        <stp>[FA1_ivyerigx.xlsx]Cash Flow - Standardized!R19C30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9" s="4"/>
      </tp>
      <tp>
        <v>14.8123</v>
        <stp/>
        <stp>##V3_BDHV12</stp>
        <stp>XOM US Equity</stp>
        <stp>PX_TO_FREE_CASH_FLOW</stp>
        <stp>FQ3 2007</stp>
        <stp>FQ3 2007</stp>
        <stp>[FA1_ivyerigx.xlsx]Cash Flow - Standardized!R50C39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0" s="4"/>
      </tp>
      <tp>
        <v>13.8551</v>
        <stp/>
        <stp>##V3_BDHV12</stp>
        <stp>XOM US Equity</stp>
        <stp>PX_TO_FREE_CASH_FLOW</stp>
        <stp>FQ2 2007</stp>
        <stp>FQ2 2007</stp>
        <stp>[FA1_ivyerigx.xlsx]Cash Flow - Standardized!R50C38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0" s="4"/>
      </tp>
      <tp>
        <v>4563</v>
        <stp/>
        <stp>##V3_BDHV12</stp>
        <stp>XOM US Equity</stp>
        <stp>NI_INCLUDING_MINORITY_INT_RATIO</stp>
        <stp>FQ3 2000</stp>
        <stp>FQ3 2000</stp>
        <stp>[FA1_ivyerigx.xlsx]Income - Adjusted!R22C11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2" s="2"/>
      </tp>
      <tp>
        <v>4270</v>
        <stp/>
        <stp>##V3_BDHV12</stp>
        <stp>XOM US Equity</stp>
        <stp>NI_INCLUDING_MINORITY_INT_RATIO</stp>
        <stp>FQ2 2003</stp>
        <stp>FQ2 2003</stp>
        <stp>[FA1_ivyerigx.xlsx]Income - Adjusted!R22C22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2" s="2"/>
      </tp>
      <tp>
        <v>5594</v>
        <stp/>
        <stp>##V3_BDHV12</stp>
        <stp>XOM US Equity</stp>
        <stp>NI_INCLUDING_MINORITY_INT_RATIO</stp>
        <stp>FQ1 2004</stp>
        <stp>FQ1 2004</stp>
        <stp>[FA1_ivyerigx.xlsx]Income - Adjusted!R22C25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2" s="2"/>
      </tp>
      <tp>
        <v>284</v>
        <stp/>
        <stp>##V3_BDHV12</stp>
        <stp>XOM US Equity</stp>
        <stp>MIN_NONCONTROL_INTEREST_CREDITS</stp>
        <stp>FQ3 2007</stp>
        <stp>FQ3 2007</stp>
        <stp>[FA1_ivyerigx.xlsx]Income - Adjusted!R23C39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3" s="2"/>
      </tp>
      <tp>
        <v>1649</v>
        <stp/>
        <stp>##V3_BDHV12</stp>
        <stp>XOM US Equity</stp>
        <stp>CF_CHNG_NON_CASH_WORK_CAP</stp>
        <stp>FQ3 2007</stp>
        <stp>FQ3 2007</stp>
        <stp>[FA1_ivyerigx.xlsx]Cash Flow - Standardized!R12C39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2" s="4"/>
      </tp>
      <tp>
        <v>1678</v>
        <stp/>
        <stp>##V3_BDHV12</stp>
        <stp>XOM US Equity</stp>
        <stp>CF_CHNG_NON_CASH_WORK_CAP</stp>
        <stp>FQ1 2001</stp>
        <stp>FQ1 2001</stp>
        <stp>[FA1_ivyerigx.xlsx]Cash Flow - Standardized!R12C13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2" s="4"/>
      </tp>
      <tp>
        <v>542</v>
        <stp/>
        <stp>##V3_BDHV12</stp>
        <stp>XOM US Equity</stp>
        <stp>CF_CHNG_NON_CASH_WORK_CAP</stp>
        <stp>FQ2 2003</stp>
        <stp>FQ2 2003</stp>
        <stp>[FA1_ivyerigx.xlsx]Cash Flow - Standardized!R12C22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2" s="4"/>
      </tp>
      <tp>
        <v>-144</v>
        <stp/>
        <stp>##V3_BDHV12</stp>
        <stp>XOM US Equity</stp>
        <stp>CF_CHNG_NON_CASH_WORK_CAP</stp>
        <stp>FQ4 2007</stp>
        <stp>FQ4 2007</stp>
        <stp>[FA1_ivyerigx.xlsx]Cash Flow - Standardized!R12C40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2" s="4"/>
      </tp>
      <tp>
        <v>9920</v>
        <stp/>
        <stp>##V3_BDHV12</stp>
        <stp>XOM US Equity</stp>
        <stp>EARN_FOR_COMMON</stp>
        <stp>FQ3 2005</stp>
        <stp>FQ3 2005</stp>
        <stp>[FA1_ivyerigx.xlsx]Income - Adjusted!R27C31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7" s="2"/>
      </tp>
      <tp>
        <v>3180</v>
        <stp/>
        <stp>##V3_BDHV12</stp>
        <stp>XOM US Equity</stp>
        <stp>EARN_FOR_COMMON</stp>
        <stp>FQ3 2001</stp>
        <stp>FQ3 2001</stp>
        <stp>[FA1_ivyerigx.xlsx]Income - Adjusted!R27C15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7" s="2"/>
      </tp>
      <tp>
        <v>650</v>
        <stp/>
        <stp>##V3_BDHV12</stp>
        <stp>XOM US Equity</stp>
        <stp>CF_CHNG_NON_CASH_WORK_CAP</stp>
        <stp>FQ2 2004</stp>
        <stp>FQ2 2004</stp>
        <stp>[FA1_ivyerigx.xlsx]Cash Flow - Standardized!R12C26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2" s="4"/>
      </tp>
      <tp>
        <v>2834</v>
        <stp/>
        <stp>##V3_BDHV12</stp>
        <stp>XOM US Equity</stp>
        <stp>CF_CHNG_NON_CASH_WORK_CAP</stp>
        <stp>FQ3 2006</stp>
        <stp>FQ3 2006</stp>
        <stp>[FA1_ivyerigx.xlsx]Cash Flow - Standardized!R12C35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2" s="4"/>
      </tp>
      <tp>
        <v>3653</v>
        <stp/>
        <stp>##V3_BDHV12</stp>
        <stp>XOM US Equity</stp>
        <stp>CF_CHNG_NON_CASH_WORK_CAP</stp>
        <stp>FQ3 2005</stp>
        <stp>FQ3 2005</stp>
        <stp>[FA1_ivyerigx.xlsx]Cash Flow - Standardized!R12C31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2" s="4"/>
      </tp>
      <tp>
        <v>872</v>
        <stp/>
        <stp>##V3_BDHV12</stp>
        <stp>XOM US Equity</stp>
        <stp>CF_CHNG_NON_CASH_WORK_CAP</stp>
        <stp>FQ1 2002</stp>
        <stp>FQ1 2002</stp>
        <stp>[FA1_ivyerigx.xlsx]Cash Flow - Standardized!R12C17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2" s="4"/>
      </tp>
      <tp>
        <v>0.63</v>
        <stp/>
        <stp>##V3_BDHV12</stp>
        <stp>XOM US Equity</stp>
        <stp>IS_EARN_BEF_XO_ITEMS_PER_SH</stp>
        <stp>FQ2 2003</stp>
        <stp>FQ2 2003</stp>
        <stp>[FA1_ivyerigx.xlsx]Per Share!R15C22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5" s="5"/>
      </tp>
      <tp>
        <v>0.56999999999999995</v>
        <stp/>
        <stp>##V3_BDHV12</stp>
        <stp>XOM US Equity</stp>
        <stp>IS_EARN_BEF_XO_ITEMS_PER_SH</stp>
        <stp>FQ3 2000</stp>
        <stp>FQ3 2000</stp>
        <stp>[FA1_ivyerigx.xlsx]Per Share!R15C11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5" s="5"/>
      </tp>
      <tp>
        <v>0.83</v>
        <stp/>
        <stp>##V3_BDHV12</stp>
        <stp>XOM US Equity</stp>
        <stp>IS_EARN_BEF_XO_ITEMS_PER_SH</stp>
        <stp>FQ1 2004</stp>
        <stp>FQ1 2004</stp>
        <stp>[FA1_ivyerigx.xlsx]Per Share!R15C25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5" s="5"/>
      </tp>
      <tp>
        <v>0.22</v>
        <stp/>
        <stp>##V3_BDHV12</stp>
        <stp>XOM US Equity</stp>
        <stp>EQY_DPS</stp>
        <stp>FQ1 2000</stp>
        <stp>FQ1 2000</stp>
        <stp>[FA1_ivyerigx.xlsx]Per Share!R20C9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0" s="5"/>
      </tp>
      <tp>
        <v>-1836</v>
        <stp/>
        <stp>##V3_BDHV12</stp>
        <stp>XOM US Equity</stp>
        <stp>ACQUIS_FXD_&amp;_INTANG_DETAILED</stp>
        <stp>FQ1 1999</stp>
        <stp>FQ1 1999</stp>
        <stp>[FA1_ivyerigx.xlsx]Cash Flow - Standardized!R20C5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20" s="4"/>
      </tp>
      <tp>
        <v>-2246</v>
        <stp/>
        <stp>##V3_BDHV12</stp>
        <stp>XOM US Equity</stp>
        <stp>ACQUIS_FXD_&amp;_INTANG_DETAILED</stp>
        <stp>FQ2 1999</stp>
        <stp>FQ2 1999</stp>
        <stp>[FA1_ivyerigx.xlsx]Cash Flow - Standardized!R20C6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20" s="4"/>
      </tp>
      <tp>
        <v>-1693</v>
        <stp/>
        <stp>##V3_BDHV12</stp>
        <stp>XOM US Equity</stp>
        <stp>ACQUIS_FXD_&amp;_INTANG_DETAILED</stp>
        <stp>FQ3 1999</stp>
        <stp>FQ3 1999</stp>
        <stp>[FA1_ivyerigx.xlsx]Cash Flow - Standardized!R20C7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20" s="4"/>
      </tp>
      <tp>
        <v>1294</v>
        <stp/>
        <stp>##V3_BDHV12</stp>
        <stp>XOM US Equity</stp>
        <stp>INVTRY_RAW_MATERIALS</stp>
        <stp>FQ1 2004</stp>
        <stp>FQ1 2004</stp>
        <stp>[FA1_ivyerigx.xlsx]Bal Sheet - Standardized!R13C25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3" s="3"/>
      </tp>
      <tp>
        <v>1242</v>
        <stp/>
        <stp>##V3_BDHV12</stp>
        <stp>XOM US Equity</stp>
        <stp>INVTRY_RAW_MATERIALS</stp>
        <stp>FQ1 2003</stp>
        <stp>FQ1 2003</stp>
        <stp>[FA1_ivyerigx.xlsx]Bal Sheet - Standardized!R13C21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3" s="3"/>
      </tp>
      <tp>
        <v>1055</v>
        <stp/>
        <stp>##V3_BDHV12</stp>
        <stp>XOM US Equity</stp>
        <stp>INVTRY_RAW_MATERIALS</stp>
        <stp>FQ2 2000</stp>
        <stp>FQ2 2000</stp>
        <stp>[FA1_ivyerigx.xlsx]Bal Sheet - Standardized!R13C10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3" s="3"/>
      </tp>
      <tp>
        <v>-6895</v>
        <stp/>
        <stp>##V3_BDHV12</stp>
        <stp>XOM US Equity</stp>
        <stp>ACQUIS_FXD_&amp;_INTANG_DETAILED</stp>
        <stp>FQ4 1998</stp>
        <stp>FQ4 1998</stp>
        <stp>[FA1_ivyerigx.xlsx]Cash Flow - Standardized!R20C4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20" s="4"/>
      </tp>
      <tp>
        <v>-2204</v>
        <stp/>
        <stp>##V3_BDHV12</stp>
        <stp>XOM US Equity</stp>
        <stp>ACQUIS_FXD_&amp;_INTANG_DETAILED</stp>
        <stp>FQ3 1998</stp>
        <stp>FQ3 1998</stp>
        <stp>[FA1_ivyerigx.xlsx]Cash Flow - Standardized!R20C3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20" s="4"/>
      </tp>
      <tp>
        <v>1102</v>
        <stp/>
        <stp>##V3_BDHV12</stp>
        <stp>XOM US Equity</stp>
        <stp>INVTRY_RAW_MATERIALS</stp>
        <stp>FQ2 2001</stp>
        <stp>FQ2 2001</stp>
        <stp>[FA1_ivyerigx.xlsx]Bal Sheet - Standardized!R13C14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3" s="3"/>
      </tp>
      <tp>
        <v>-5074</v>
        <stp/>
        <stp>##V3_BDHV12</stp>
        <stp>XOM US Equity</stp>
        <stp>ACQUIS_FXD_&amp;_INTANG_DETAILED</stp>
        <stp>FQ4 1999</stp>
        <stp>FQ4 1999</stp>
        <stp>[FA1_ivyerigx.xlsx]Cash Flow - Standardized!R20C8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20" s="4"/>
      </tp>
      <tp>
        <v>1254</v>
        <stp/>
        <stp>##V3_BDHV12</stp>
        <stp>XOM US Equity</stp>
        <stp>INVTRY_RAW_MATERIALS</stp>
        <stp>FQ2 2002</stp>
        <stp>FQ2 2002</stp>
        <stp>[FA1_ivyerigx.xlsx]Bal Sheet - Standardized!R13C18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3" s="3"/>
      </tp>
      <tp>
        <v>1338</v>
        <stp/>
        <stp>##V3_BDHV12</stp>
        <stp>XOM US Equity</stp>
        <stp>INVTRY_RAW_MATERIALS</stp>
        <stp>FQ1 2005</stp>
        <stp>FQ1 2005</stp>
        <stp>[FA1_ivyerigx.xlsx]Bal Sheet - Standardized!R13C29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3" s="3"/>
      </tp>
      <tp>
        <v>108601</v>
        <stp/>
        <stp>##V3_BDHV12</stp>
        <stp>XOM US Equity</stp>
        <stp>BS_TOT_NON_CUR_ASSET</stp>
        <stp>FQ4 2000</stp>
        <stp>FQ4 2000</stp>
        <stp>[FA1_ivyerigx.xlsx]Bal Sheet - Standardized!R26C12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6" s="3"/>
      </tp>
      <tp>
        <v>2896</v>
        <stp/>
        <stp>##V3_BDHV12</stp>
        <stp>XOM US Equity</stp>
        <stp>BS_LT_INVEST</stp>
        <stp>FQ4 2005</stp>
        <stp>FQ4 2005</stp>
        <stp>[FA1_ivyerigx.xlsx]Bal Sheet - Standardized!R22C32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2" s="3"/>
      </tp>
      <tp>
        <v>7280</v>
        <stp/>
        <stp>##V3_BDHV12</stp>
        <stp>XOM US Equity</stp>
        <stp>BS_LT_BORROW</stp>
        <stp>FQ4 2000</stp>
        <stp>FQ4 2000</stp>
        <stp>[FA1_ivyerigx.xlsx]Bal Sheet - Standardized!R36C12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6" s="3"/>
      </tp>
      <tp>
        <v>0</v>
        <stp/>
        <stp>##V3_BDHV12</stp>
        <stp>XOM US Equity</stp>
        <stp>CF_NET_CASH_PAID_FOR_AQUIS</stp>
        <stp>FQ4 2003</stp>
        <stp>FQ4 2003</stp>
        <stp>[FA1_ivyerigx.xlsx]Cash Flow - Standardized!R44C24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44" s="4"/>
      </tp>
      <tp t="s">
        <v>—</v>
        <stp/>
        <stp>##V3_BDHV12</stp>
        <stp>XOM US Equity</stp>
        <stp>IS_DEPR_EXP</stp>
        <stp>FQ1 1999</stp>
        <stp>FQ1 1999</stp>
        <stp>[FA1_ivyerigx.xlsx]Income - Adjusted!R56C5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56" s="2"/>
      </tp>
      <tp>
        <v>23237</v>
        <stp/>
        <stp>##V3_BDHV12</stp>
        <stp>XOM US Equity</stp>
        <stp>BS_LT_INVEST</stp>
        <stp>FQ4 2006</stp>
        <stp>FQ4 2006</stp>
        <stp>[FA1_ivyerigx.xlsx]Bal Sheet - Standardized!R22C36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2" s="3"/>
      </tp>
      <tp>
        <v>16310</v>
        <stp/>
        <stp>##V3_BDHV12</stp>
        <stp>XOM US Equity</stp>
        <stp>EBITDA</stp>
        <stp>FQ1 2007</stp>
        <stp>FQ1 2007</stp>
        <stp>[FA1_ivyerigx.xlsx]Cash Flow - Standardized!R42C37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42" s="4"/>
      </tp>
      <tp>
        <v>7099</v>
        <stp/>
        <stp>##V3_BDHV12</stp>
        <stp>XOM US Equity</stp>
        <stp>BS_LT_BORROW</stp>
        <stp>FQ4 2001</stp>
        <stp>FQ4 2001</stp>
        <stp>[FA1_ivyerigx.xlsx]Bal Sheet - Standardized!R36C16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6" s="3"/>
      </tp>
      <tp>
        <v>0</v>
        <stp/>
        <stp>##V3_BDHV12</stp>
        <stp>XOM US Equity</stp>
        <stp>CF_NET_CASH_PAID_FOR_AQUIS</stp>
        <stp>FQ4 2002</stp>
        <stp>FQ4 2002</stp>
        <stp>[FA1_ivyerigx.xlsx]Cash Flow - Standardized!R44C20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44" s="4"/>
      </tp>
      <tp>
        <v>107493</v>
        <stp/>
        <stp>##V3_BDHV12</stp>
        <stp>XOM US Equity</stp>
        <stp>BS_TOT_NON_CUR_ASSET</stp>
        <stp>FQ4 2001</stp>
        <stp>FQ4 2001</stp>
        <stp>[FA1_ivyerigx.xlsx]Bal Sheet - Standardized!R26C16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6" s="3"/>
      </tp>
      <tp t="s">
        <v>—</v>
        <stp/>
        <stp>##V3_BDHV12</stp>
        <stp>XOM US Equity</stp>
        <stp>IS_DEPR_EXP</stp>
        <stp>FQ1 2000</stp>
        <stp>FQ1 2000</stp>
        <stp>[FA1_ivyerigx.xlsx]Income - Adjusted!R56C9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56" s="2"/>
      </tp>
      <tp>
        <v>0</v>
        <stp/>
        <stp>##V3_BDHV12</stp>
        <stp>XOM US Equity</stp>
        <stp>CF_NET_CASH_PAID_FOR_AQUIS</stp>
        <stp>FQ4 2004</stp>
        <stp>FQ4 2004</stp>
        <stp>[FA1_ivyerigx.xlsx]Cash Flow - Standardized!R44C28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44" s="4"/>
      </tp>
      <tp t="s">
        <v>—</v>
        <stp/>
        <stp>##V3_BDHV12</stp>
        <stp>XOM US Equity</stp>
        <stp>CF_NET_CASH_PAID_FOR_AQUIS</stp>
        <stp>FQ2 2008</stp>
        <stp>FQ2 2008</stp>
        <stp>[FA1_ivyerigx.xlsx]Cash Flow - Standardized!R44C42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44" s="4"/>
      </tp>
      <tp>
        <v>160444</v>
        <stp/>
        <stp>##V3_BDHV12</stp>
        <stp>XOM US Equity</stp>
        <stp>BS_TOT_NON_CUR_ASSET</stp>
        <stp>FQ1 2008</stp>
        <stp>FQ1 2008</stp>
        <stp>[FA1_ivyerigx.xlsx]Bal Sheet - Standardized!R26C41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6" s="3"/>
      </tp>
      <tp>
        <v>7235</v>
        <stp/>
        <stp>##V3_BDHV12</stp>
        <stp>XOM US Equity</stp>
        <stp>BS_LT_BORROW</stp>
        <stp>FQ1 2008</stp>
        <stp>FQ1 2008</stp>
        <stp>[FA1_ivyerigx.xlsx]Bal Sheet - Standardized!R36C41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6" s="3"/>
      </tp>
      <tp>
        <v>749</v>
        <stp/>
        <stp>##V3_BDHV12</stp>
        <stp>XOM US Equity</stp>
        <stp>DISP_FXD_&amp;_INTANGIBLES_DETAILED</stp>
        <stp>FQ3 2007</stp>
        <stp>FQ3 2007</stp>
        <stp>[FA1_ivyerigx.xlsx]Cash Flow - Standardized!R19C39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9" s="4"/>
      </tp>
      <tp>
        <v>928</v>
        <stp/>
        <stp>##V3_BDHV12</stp>
        <stp>XOM US Equity</stp>
        <stp>DISP_FXD_&amp;_INTANGIBLES_DETAILED</stp>
        <stp>FQ2 2004</stp>
        <stp>FQ2 2004</stp>
        <stp>[FA1_ivyerigx.xlsx]Cash Flow - Standardized!R19C26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9" s="4"/>
      </tp>
      <tp>
        <v>0</v>
        <stp/>
        <stp>##V3_BDHV12</stp>
        <stp>XOM US Equity</stp>
        <stp>DISP_FXD_&amp;_INTANGIBLES_DETAILED</stp>
        <stp>FQ3 2006</stp>
        <stp>FQ3 2006</stp>
        <stp>[FA1_ivyerigx.xlsx]Cash Flow - Standardized!R19C35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9" s="4"/>
      </tp>
      <tp>
        <v>1782</v>
        <stp/>
        <stp>##V3_BDHV12</stp>
        <stp>XOM US Equity</stp>
        <stp>DISP_FXD_&amp;_INTANGIBLES_DETAILED</stp>
        <stp>FQ4 2007</stp>
        <stp>FQ4 2007</stp>
        <stp>[FA1_ivyerigx.xlsx]Cash Flow - Standardized!R19C40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9" s="4"/>
      </tp>
      <tp>
        <v>287</v>
        <stp/>
        <stp>##V3_BDHV12</stp>
        <stp>XOM US Equity</stp>
        <stp>DISP_FXD_&amp;_INTANGIBLES_DETAILED</stp>
        <stp>FQ1 2001</stp>
        <stp>FQ1 2001</stp>
        <stp>[FA1_ivyerigx.xlsx]Cash Flow - Standardized!R19C13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9" s="4"/>
      </tp>
      <tp>
        <v>248</v>
        <stp/>
        <stp>##V3_BDHV12</stp>
        <stp>XOM US Equity</stp>
        <stp>DISP_FXD_&amp;_INTANGIBLES_DETAILED</stp>
        <stp>FQ2 2003</stp>
        <stp>FQ2 2003</stp>
        <stp>[FA1_ivyerigx.xlsx]Cash Flow - Standardized!R19C22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9" s="4"/>
      </tp>
      <tp>
        <v>768</v>
        <stp/>
        <stp>##V3_BDHV12</stp>
        <stp>XOM US Equity</stp>
        <stp>DISP_FXD_&amp;_INTANGIBLES_DETAILED</stp>
        <stp>FQ1 2002</stp>
        <stp>FQ1 2002</stp>
        <stp>[FA1_ivyerigx.xlsx]Cash Flow - Standardized!R19C17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9" s="4"/>
      </tp>
      <tp>
        <v>754</v>
        <stp/>
        <stp>##V3_BDHV12</stp>
        <stp>XOM US Equity</stp>
        <stp>DISP_FXD_&amp;_INTANGIBLES_DETAILED</stp>
        <stp>FQ3 2005</stp>
        <stp>FQ3 2005</stp>
        <stp>[FA1_ivyerigx.xlsx]Cash Flow - Standardized!R19C31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9" s="4"/>
      </tp>
      <tp>
        <v>10613</v>
        <stp/>
        <stp>##V3_BDHV12</stp>
        <stp>XOM US Equity</stp>
        <stp>NI_INCLUDING_MINORITY_INT_RATIO</stp>
        <stp>FQ2 2006</stp>
        <stp>FQ2 2006</stp>
        <stp>[FA1_ivyerigx.xlsx]Income - Adjusted!R22C34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2" s="2"/>
      </tp>
      <tp>
        <v>5932</v>
        <stp/>
        <stp>##V3_BDHV12</stp>
        <stp>XOM US Equity</stp>
        <stp>NI_INCLUDING_MINORITY_INT_RATIO</stp>
        <stp>FQ2 2004</stp>
        <stp>FQ2 2004</stp>
        <stp>[FA1_ivyerigx.xlsx]Income - Adjusted!R22C26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2" s="2"/>
      </tp>
      <tp>
        <v>5212</v>
        <stp/>
        <stp>##V3_BDHV12</stp>
        <stp>XOM US Equity</stp>
        <stp>NI_INCLUDING_MINORITY_INT_RATIO</stp>
        <stp>FQ1 2001</stp>
        <stp>FQ1 2001</stp>
        <stp>[FA1_ivyerigx.xlsx]Income - Adjusted!R22C13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2" s="2"/>
      </tp>
      <tp>
        <v>7413</v>
        <stp/>
        <stp>##V3_BDHV12</stp>
        <stp>XOM US Equity</stp>
        <stp>NI_INCLUDING_MINORITY_INT_RATIO</stp>
        <stp>FQ1 2003</stp>
        <stp>FQ1 2003</stp>
        <stp>[FA1_ivyerigx.xlsx]Income - Adjusted!R22C21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2" s="2"/>
      </tp>
      <tp>
        <v>5613</v>
        <stp/>
        <stp>##V3_BDHV12</stp>
        <stp>XOM US Equity</stp>
        <stp>NI_INCLUDING_MINORITY_INT_RATIO</stp>
        <stp>FQ4 2000</stp>
        <stp>FQ4 2000</stp>
        <stp>[FA1_ivyerigx.xlsx]Income - Adjusted!R22C12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2" s="2"/>
      </tp>
      <tp>
        <v>4191</v>
        <stp/>
        <stp>##V3_BDHV12</stp>
        <stp>XOM US Equity</stp>
        <stp>NI_INCLUDING_MINORITY_INT_RATIO</stp>
        <stp>FQ4 2002</stp>
        <stp>FQ4 2002</stp>
        <stp>[FA1_ivyerigx.xlsx]Income - Adjusted!R22C20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2" s="2"/>
      </tp>
      <tp>
        <v>-784</v>
        <stp/>
        <stp>##V3_BDHV12</stp>
        <stp>XOM US Equity</stp>
        <stp>CF_CHNG_NON_CASH_WORK_CAP</stp>
        <stp>FQ2 2002</stp>
        <stp>FQ2 2002</stp>
        <stp>[FA1_ivyerigx.xlsx]Cash Flow - Standardized!R12C18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2" s="4"/>
      </tp>
      <tp>
        <v>3549</v>
        <stp/>
        <stp>##V3_BDHV12</stp>
        <stp>XOM US Equity</stp>
        <stp>CF_CHNG_NON_CASH_WORK_CAP</stp>
        <stp>FQ1 2005</stp>
        <stp>FQ1 2005</stp>
        <stp>[FA1_ivyerigx.xlsx]Cash Flow - Standardized!R12C29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2" s="4"/>
      </tp>
      <tp>
        <v>1928</v>
        <stp/>
        <stp>##V3_BDHV12</stp>
        <stp>XOM US Equity</stp>
        <stp>CF_CHNG_NON_CASH_WORK_CAP</stp>
        <stp>FQ1 2003</stp>
        <stp>FQ1 2003</stp>
        <stp>[FA1_ivyerigx.xlsx]Cash Flow - Standardized!R12C21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2" s="4"/>
      </tp>
      <tp>
        <v>2680</v>
        <stp/>
        <stp>##V3_BDHV12</stp>
        <stp>XOM US Equity</stp>
        <stp>EARN_FOR_COMMON</stp>
        <stp>FQ4 2001</stp>
        <stp>FQ4 2001</stp>
        <stp>[FA1_ivyerigx.xlsx]Income - Adjusted!R27C16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7" s="2"/>
      </tp>
      <tp>
        <v>6650</v>
        <stp/>
        <stp>##V3_BDHV12</stp>
        <stp>XOM US Equity</stp>
        <stp>EARN_FOR_COMMON</stp>
        <stp>FQ4 2003</stp>
        <stp>FQ4 2003</stp>
        <stp>[FA1_ivyerigx.xlsx]Income - Adjusted!R27C24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7" s="2"/>
      </tp>
      <tp>
        <v>11660</v>
        <stp/>
        <stp>##V3_BDHV12</stp>
        <stp>XOM US Equity</stp>
        <stp>EARN_FOR_COMMON</stp>
        <stp>FQ4 2007</stp>
        <stp>FQ4 2007</stp>
        <stp>[FA1_ivyerigx.xlsx]Income - Adjusted!R27C40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7" s="2"/>
      </tp>
      <tp>
        <v>10710</v>
        <stp/>
        <stp>##V3_BDHV12</stp>
        <stp>XOM US Equity</stp>
        <stp>EARN_FOR_COMMON</stp>
        <stp>FQ4 2005</stp>
        <stp>FQ4 2005</stp>
        <stp>[FA1_ivyerigx.xlsx]Income - Adjusted!R27C32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7" s="2"/>
      </tp>
      <tp>
        <v>394</v>
        <stp/>
        <stp>##V3_BDHV12</stp>
        <stp>XOM US Equity</stp>
        <stp>CF_CHNG_NON_CASH_WORK_CAP</stp>
        <stp>FQ2 2000</stp>
        <stp>FQ2 2000</stp>
        <stp>[FA1_ivyerigx.xlsx]Cash Flow - Standardized!R12C10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2" s="4"/>
      </tp>
      <tp>
        <v>2373</v>
        <stp/>
        <stp>##V3_BDHV12</stp>
        <stp>XOM US Equity</stp>
        <stp>CF_CHNG_NON_CASH_WORK_CAP</stp>
        <stp>FQ1 2004</stp>
        <stp>FQ1 2004</stp>
        <stp>[FA1_ivyerigx.xlsx]Cash Flow - Standardized!R12C25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2" s="4"/>
      </tp>
      <tp>
        <v>-422</v>
        <stp/>
        <stp>##V3_BDHV12</stp>
        <stp>XOM US Equity</stp>
        <stp>CF_CHNG_NON_CASH_WORK_CAP</stp>
        <stp>FQ2 2001</stp>
        <stp>FQ2 2001</stp>
        <stp>[FA1_ivyerigx.xlsx]Cash Flow - Standardized!R12C14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2" s="4"/>
      </tp>
      <tp>
        <v>0.54</v>
        <stp/>
        <stp>##V3_BDHV12</stp>
        <stp>XOM US Equity</stp>
        <stp>IS_EARN_BEF_XO_ITEMS_PER_SH</stp>
        <stp>FQ4 2002</stp>
        <stp>FQ4 2002</stp>
        <stp>[FA1_ivyerigx.xlsx]Per Share!R15C20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5" s="5"/>
      </tp>
      <tp>
        <v>0.76</v>
        <stp/>
        <stp>##V3_BDHV12</stp>
        <stp>XOM US Equity</stp>
        <stp>IS_EARN_BEF_XO_ITEMS_PER_SH</stp>
        <stp>FQ4 2000</stp>
        <stp>FQ4 2000</stp>
        <stp>[FA1_ivyerigx.xlsx]Per Share!R15C12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5" s="5"/>
      </tp>
      <tp>
        <v>1.74</v>
        <stp/>
        <stp>##V3_BDHV12</stp>
        <stp>XOM US Equity</stp>
        <stp>IS_EARN_BEF_XO_ITEMS_PER_SH</stp>
        <stp>FQ2 2006</stp>
        <stp>FQ2 2006</stp>
        <stp>[FA1_ivyerigx.xlsx]Per Share!R15C34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5" s="5"/>
      </tp>
      <tp>
        <v>0.89</v>
        <stp/>
        <stp>##V3_BDHV12</stp>
        <stp>XOM US Equity</stp>
        <stp>IS_EARN_BEF_XO_ITEMS_PER_SH</stp>
        <stp>FQ2 2004</stp>
        <stp>FQ2 2004</stp>
        <stp>[FA1_ivyerigx.xlsx]Per Share!R15C26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5" s="5"/>
      </tp>
      <tp>
        <v>0.97</v>
        <stp/>
        <stp>##V3_BDHV12</stp>
        <stp>XOM US Equity</stp>
        <stp>IS_EARN_BEF_XO_ITEMS_PER_SH</stp>
        <stp>FQ1 2003</stp>
        <stp>FQ1 2003</stp>
        <stp>[FA1_ivyerigx.xlsx]Per Share!R15C21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5" s="5"/>
      </tp>
      <tp>
        <v>0.71</v>
        <stp/>
        <stp>##V3_BDHV12</stp>
        <stp>XOM US Equity</stp>
        <stp>IS_EARN_BEF_XO_ITEMS_PER_SH</stp>
        <stp>FQ1 2001</stp>
        <stp>FQ1 2001</stp>
        <stp>[FA1_ivyerigx.xlsx]Per Share!R15C13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5" s="5"/>
      </tp>
      <tp>
        <v>0.189</v>
        <stp/>
        <stp>##V3_BDHV12</stp>
        <stp>XOM US Equity</stp>
        <stp>FREE_CASH_FLOW_PER_SH</stp>
        <stp>FQ2 2002</stp>
        <stp>FQ2 2002</stp>
        <stp>[FA1_ivyerigx.xlsx]Cash Flow - Standardized!R49C18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49" s="4"/>
      </tp>
      <tp>
        <v>0.67730000000000001</v>
        <stp/>
        <stp>##V3_BDHV12</stp>
        <stp>XOM US Equity</stp>
        <stp>FREE_CASH_FLOW_PER_SH</stp>
        <stp>FQ3 2002</stp>
        <stp>FQ3 2002</stp>
        <stp>[FA1_ivyerigx.xlsx]Cash Flow - Standardized!R49C19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49" s="4"/>
      </tp>
      <tp>
        <v>1.3884000000000001</v>
        <stp/>
        <stp>##V3_BDHV12</stp>
        <stp>XOM US Equity</stp>
        <stp>FREE_CASH_FLOW_PER_SH</stp>
        <stp>FQ4 2004</stp>
        <stp>FQ4 2004</stp>
        <stp>[FA1_ivyerigx.xlsx]Cash Flow - Standardized!R49C28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49" s="4"/>
      </tp>
      <tp t="s">
        <v>—</v>
        <stp/>
        <stp>##V3_BDHV12</stp>
        <stp>XOM US Equity</stp>
        <stp>NUM_OF_EMPLOYEES</stp>
        <stp>FQ1 2000</stp>
        <stp>FQ1 2000</stp>
        <stp>[FA1_ivyerigx.xlsx]Bal Sheet - Standardized!R65C9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65" s="3"/>
      </tp>
      <tp>
        <v>3.2900999999999998</v>
        <stp/>
        <stp>##V3_BDHV12</stp>
        <stp>XOM US Equity</stp>
        <stp>FREE_CASH_FLOW_PER_SH</stp>
        <stp>FQ1 2008</stp>
        <stp>FQ1 2008</stp>
        <stp>[FA1_ivyerigx.xlsx]Cash Flow - Standardized!R49C41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49" s="4"/>
      </tp>
      <tp>
        <v>1.6431</v>
        <stp/>
        <stp>##V3_BDHV12</stp>
        <stp>XOM US Equity</stp>
        <stp>FREE_CASH_FLOW_PER_SH</stp>
        <stp>FQ2 2008</stp>
        <stp>FQ2 2008</stp>
        <stp>[FA1_ivyerigx.xlsx]Cash Flow - Standardized!R49C42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49" s="4"/>
      </tp>
      <tp>
        <v>1.7</v>
        <stp/>
        <stp>##V3_BDHV12</stp>
        <stp>XOM US Equity</stp>
        <stp>IS_DIL_EPS_CONT_OPS</stp>
        <stp>FQ3 2007</stp>
        <stp>FQ3 2007</stp>
        <stp>[FA1_ivyerigx.xlsx]Income - Adjusted!R41C39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41" s="2"/>
      </tp>
      <tp>
        <v>8953.0287000000008</v>
        <stp/>
        <stp>##V3_BDHV12</stp>
        <stp>XOM US Equity</stp>
        <stp>CF_FREE_CASH_FLOW_FIRM</stp>
        <stp>FQ4 2004</stp>
        <stp>FQ4 2004</stp>
        <stp>[FA1_ivyerigx.xlsx]Cash Flow - Standardized!R47C28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7" s="4"/>
      </tp>
      <tp>
        <v>1278</v>
        <stp/>
        <stp>##V3_BDHV12</stp>
        <stp>XOM US Equity</stp>
        <stp>INVTRY_RAW_MATERIALS</stp>
        <stp>FQ2 2004</stp>
        <stp>FQ2 2004</stp>
        <stp>[FA1_ivyerigx.xlsx]Bal Sheet - Standardized!R13C26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3" s="3"/>
      </tp>
      <tp>
        <v>1670</v>
        <stp/>
        <stp>##V3_BDHV12</stp>
        <stp>XOM US Equity</stp>
        <stp>INVTRY_RAW_MATERIALS</stp>
        <stp>FQ3 2006</stp>
        <stp>FQ3 2006</stp>
        <stp>[FA1_ivyerigx.xlsx]Bal Sheet - Standardized!R13C35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3" s="3"/>
      </tp>
      <tp>
        <v>1053</v>
        <stp/>
        <stp>##V3_BDHV12</stp>
        <stp>XOM US Equity</stp>
        <stp>INVTRY_RAW_MATERIALS</stp>
        <stp>FQ1 2001</stp>
        <stp>FQ1 2001</stp>
        <stp>[FA1_ivyerigx.xlsx]Bal Sheet - Standardized!R13C13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3" s="3"/>
      </tp>
      <tp>
        <v>1252</v>
        <stp/>
        <stp>##V3_BDHV12</stp>
        <stp>XOM US Equity</stp>
        <stp>INVTRY_RAW_MATERIALS</stp>
        <stp>FQ2 2003</stp>
        <stp>FQ2 2003</stp>
        <stp>[FA1_ivyerigx.xlsx]Bal Sheet - Standardized!R13C22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3" s="3"/>
      </tp>
      <tp>
        <v>2226</v>
        <stp/>
        <stp>##V3_BDHV12</stp>
        <stp>XOM US Equity</stp>
        <stp>INVTRY_RAW_MATERIALS</stp>
        <stp>FQ4 2007</stp>
        <stp>FQ4 2007</stp>
        <stp>[FA1_ivyerigx.xlsx]Bal Sheet - Standardized!R13C40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3" s="3"/>
      </tp>
      <tp>
        <v>1167</v>
        <stp/>
        <stp>##V3_BDHV12</stp>
        <stp>XOM US Equity</stp>
        <stp>INVTRY_RAW_MATERIALS</stp>
        <stp>FQ1 2002</stp>
        <stp>FQ1 2002</stp>
        <stp>[FA1_ivyerigx.xlsx]Bal Sheet - Standardized!R13C17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3" s="3"/>
      </tp>
      <tp>
        <v>4595.2833000000001</v>
        <stp/>
        <stp>##V3_BDHV12</stp>
        <stp>XOM US Equity</stp>
        <stp>CF_FREE_CASH_FLOW_FIRM</stp>
        <stp>FQ3 2002</stp>
        <stp>FQ3 2002</stp>
        <stp>[FA1_ivyerigx.xlsx]Cash Flow - Standardized!R47C19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7" s="4"/>
      </tp>
      <tp>
        <v>1310.4328</v>
        <stp/>
        <stp>##V3_BDHV12</stp>
        <stp>XOM US Equity</stp>
        <stp>CF_FREE_CASH_FLOW_FIRM</stp>
        <stp>FQ2 2002</stp>
        <stp>FQ2 2002</stp>
        <stp>[FA1_ivyerigx.xlsx]Cash Flow - Standardized!R47C18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7" s="4"/>
      </tp>
      <tp>
        <v>1399</v>
        <stp/>
        <stp>##V3_BDHV12</stp>
        <stp>XOM US Equity</stp>
        <stp>INVTRY_RAW_MATERIALS</stp>
        <stp>FQ3 2005</stp>
        <stp>FQ3 2005</stp>
        <stp>[FA1_ivyerigx.xlsx]Bal Sheet - Standardized!R13C31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3" s="3"/>
      </tp>
      <tp>
        <v>0.39</v>
        <stp/>
        <stp>##V3_BDHV12</stp>
        <stp>XOM US Equity</stp>
        <stp>IS_DIL_EPS_BEF_XO</stp>
        <stp>FQ3 2002</stp>
        <stp>FQ3 2002</stp>
        <stp>[FA1_ivyerigx.xlsx]Per Share!R18C19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8" s="5"/>
      </tp>
      <tp>
        <v>8602.7890000000007</v>
        <stp/>
        <stp>##V3_BDHV12</stp>
        <stp>XOM US Equity</stp>
        <stp>CF_FREE_CASH_FLOW_FIRM</stp>
        <stp>FQ2 2008</stp>
        <stp>FQ2 2008</stp>
        <stp>[FA1_ivyerigx.xlsx]Cash Flow - Standardized!R47C42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47" s="4"/>
      </tp>
      <tp>
        <v>17511.936799999999</v>
        <stp/>
        <stp>##V3_BDHV12</stp>
        <stp>XOM US Equity</stp>
        <stp>CF_FREE_CASH_FLOW_FIRM</stp>
        <stp>FQ1 2008</stp>
        <stp>FQ1 2008</stp>
        <stp>[FA1_ivyerigx.xlsx]Cash Flow - Standardized!R47C41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47" s="4"/>
      </tp>
      <tp>
        <v>2136</v>
        <stp/>
        <stp>##V3_BDHV12</stp>
        <stp>XOM US Equity</stp>
        <stp>INVTRY_RAW_MATERIALS</stp>
        <stp>FQ3 2007</stp>
        <stp>FQ3 2007</stp>
        <stp>[FA1_ivyerigx.xlsx]Bal Sheet - Standardized!R13C39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3" s="3"/>
      </tp>
      <tp>
        <v>114353</v>
        <stp/>
        <stp>##V3_BDHV12</stp>
        <stp>XOM US Equity</stp>
        <stp>BS_TOT_NON_CUR_ASSET</stp>
        <stp>FQ4 2002</stp>
        <stp>FQ4 2002</stp>
        <stp>[FA1_ivyerigx.xlsx]Bal Sheet - Standardized!R26C20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26" s="3"/>
      </tp>
      <tp>
        <v>8063</v>
        <stp/>
        <stp>##V3_BDHV12</stp>
        <stp>XOM US Equity</stp>
        <stp>EBITDA</stp>
        <stp>FQ2 2000</stp>
        <stp>FQ2 2000</stp>
        <stp>[FA1_ivyerigx.xlsx]Cash Flow - Standardized!R42C10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2" s="4"/>
      </tp>
      <tp>
        <v>8080</v>
        <stp/>
        <stp>##V3_BDHV12</stp>
        <stp>XOM US Equity</stp>
        <stp>EBITDA</stp>
        <stp>FQ3 2000</stp>
        <stp>FQ3 2000</stp>
        <stp>[FA1_ivyerigx.xlsx]Cash Flow - Standardized!R42C11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2" s="4"/>
      </tp>
      <tp>
        <v>6655</v>
        <stp/>
        <stp>##V3_BDHV12</stp>
        <stp>XOM US Equity</stp>
        <stp>BS_LT_BORROW</stp>
        <stp>FQ4 2002</stp>
        <stp>FQ4 2002</stp>
        <stp>[FA1_ivyerigx.xlsx]Bal Sheet - Standardized!R36C20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6" s="3"/>
      </tp>
      <tp t="s">
        <v>—</v>
        <stp/>
        <stp>##V3_BDHV12</stp>
        <stp>XOM US Equity</stp>
        <stp>CF_NET_CASH_PAID_FOR_AQUIS</stp>
        <stp>FQ4 2001</stp>
        <stp>FQ4 2001</stp>
        <stp>[FA1_ivyerigx.xlsx]Cash Flow - Standardized!R44C16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44" s="4"/>
      </tp>
      <tp t="s">
        <v>—</v>
        <stp/>
        <stp>##V3_BDHV12</stp>
        <stp>XOM US Equity</stp>
        <stp>IS_DEPR_EXP</stp>
        <stp>FQ2 1999</stp>
        <stp>FQ2 1999</stp>
        <stp>[FA1_ivyerigx.xlsx]Income - Adjusted!R56C6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56" s="2"/>
      </tp>
      <tp>
        <v>4756</v>
        <stp/>
        <stp>##V3_BDHV12</stp>
        <stp>XOM US Equity</stp>
        <stp>BS_LT_BORROW</stp>
        <stp>FQ4 2003</stp>
        <stp>FQ4 2003</stp>
        <stp>[FA1_ivyerigx.xlsx]Bal Sheet - Standardized!R36C24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6" s="3"/>
      </tp>
      <tp t="s">
        <v>—</v>
        <stp/>
        <stp>##V3_BDHV12</stp>
        <stp>XOM US Equity</stp>
        <stp>CF_NET_CASH_PAID_FOR_AQUIS</stp>
        <stp>FQ4 2000</stp>
        <stp>FQ4 2000</stp>
        <stp>[FA1_ivyerigx.xlsx]Cash Flow - Standardized!R44C12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44" s="4"/>
      </tp>
      <tp>
        <v>128318</v>
        <stp/>
        <stp>##V3_BDHV12</stp>
        <stp>XOM US Equity</stp>
        <stp>BS_TOT_NON_CUR_ASSET</stp>
        <stp>FQ4 2003</stp>
        <stp>FQ4 2003</stp>
        <stp>[FA1_ivyerigx.xlsx]Bal Sheet - Standardized!R26C24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26" s="3"/>
      </tp>
      <tp t="s">
        <v>—</v>
        <stp/>
        <stp>##V3_BDHV12</stp>
        <stp>XOM US Equity</stp>
        <stp>CF_NET_CASH_PAID_FOR_AQUIS</stp>
        <stp>FQ1 2008</stp>
        <stp>FQ1 2008</stp>
        <stp>[FA1_ivyerigx.xlsx]Cash Flow - Standardized!R44C41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44" s="4"/>
      </tp>
      <tp>
        <v>134879</v>
        <stp/>
        <stp>##V3_BDHV12</stp>
        <stp>XOM US Equity</stp>
        <stp>BS_TOT_NON_CUR_ASSET</stp>
        <stp>FQ4 2004</stp>
        <stp>FQ4 2004</stp>
        <stp>[FA1_ivyerigx.xlsx]Bal Sheet - Standardized!R26C28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26" s="3"/>
      </tp>
      <tp>
        <v>162776</v>
        <stp/>
        <stp>##V3_BDHV12</stp>
        <stp>XOM US Equity</stp>
        <stp>BS_TOT_NON_CUR_ASSET</stp>
        <stp>FQ2 2008</stp>
        <stp>FQ2 2008</stp>
        <stp>[FA1_ivyerigx.xlsx]Bal Sheet - Standardized!R26C42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26" s="3"/>
      </tp>
      <tp>
        <v>5013</v>
        <stp/>
        <stp>##V3_BDHV12</stp>
        <stp>XOM US Equity</stp>
        <stp>BS_LT_BORROW</stp>
        <stp>FQ4 2004</stp>
        <stp>FQ4 2004</stp>
        <stp>[FA1_ivyerigx.xlsx]Bal Sheet - Standardized!R36C28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6" s="3"/>
      </tp>
      <tp>
        <v>7327</v>
        <stp/>
        <stp>##V3_BDHV12</stp>
        <stp>XOM US Equity</stp>
        <stp>BS_LT_BORROW</stp>
        <stp>FQ2 2008</stp>
        <stp>FQ2 2008</stp>
        <stp>[FA1_ivyerigx.xlsx]Bal Sheet - Standardized!R36C42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6" s="3"/>
      </tp>
      <tp>
        <v>11.0997</v>
        <stp/>
        <stp>##V3_BDHV12</stp>
        <stp>XOM US Equity</stp>
        <stp>TANG_BOOK_VAL_PER_SH</stp>
        <stp>FQ3 2002</stp>
        <stp>FQ3 2002</stp>
        <stp>[FA1_ivyerigx.xlsx]Per Share!R27C19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27" s="5"/>
      </tp>
      <tp>
        <v>2985</v>
        <stp/>
        <stp>##V3_BDHV12</stp>
        <stp>XOM US Equity</stp>
        <stp>C&amp;CE_AND_STI_DETAILED</stp>
        <stp>FQ1 2000</stp>
        <stp>FQ1 2000</stp>
        <stp>[FA1_ivyerigx.xlsx]Bal Sheet - Standardized!R7C9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7" s="3"/>
      </tp>
      <tp>
        <v>110</v>
        <stp/>
        <stp>##V3_BDHV12</stp>
        <stp>XOM US Equity</stp>
        <stp>DISP_FXD_&amp;_INTANGIBLES_DETAILED</stp>
        <stp>FQ2 2002</stp>
        <stp>FQ2 2002</stp>
        <stp>[FA1_ivyerigx.xlsx]Cash Flow - Standardized!R19C18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9" s="4"/>
      </tp>
      <tp>
        <v>1797</v>
        <stp/>
        <stp>##V3_BDHV12</stp>
        <stp>XOM US Equity</stp>
        <stp>DISP_FXD_&amp;_INTANGIBLES_DETAILED</stp>
        <stp>FQ1 2005</stp>
        <stp>FQ1 2005</stp>
        <stp>[FA1_ivyerigx.xlsx]Cash Flow - Standardized!R19C29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9" s="4"/>
      </tp>
      <tp>
        <v>454</v>
        <stp/>
        <stp>##V3_BDHV12</stp>
        <stp>XOM US Equity</stp>
        <stp>DISP_FXD_&amp;_INTANGIBLES_DETAILED</stp>
        <stp>FQ1 2004</stp>
        <stp>FQ1 2004</stp>
        <stp>[FA1_ivyerigx.xlsx]Cash Flow - Standardized!R19C25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9" s="4"/>
      </tp>
      <tp>
        <v>7046</v>
        <stp/>
        <stp>##V3_BDHV12</stp>
        <stp>XOM US Equity</stp>
        <stp>INVTRY_FINISHED_GOODS</stp>
        <stp>FQ1 2000</stp>
        <stp>FQ1 2000</stp>
        <stp>[FA1_ivyerigx.xlsx]Bal Sheet - Standardized!R15C9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1333</v>
        <stp/>
        <stp>##V3_BDHV12</stp>
        <stp>XOM US Equity</stp>
        <stp>DISP_FXD_&amp;_INTANGIBLES_DETAILED</stp>
        <stp>FQ1 2003</stp>
        <stp>FQ1 2003</stp>
        <stp>[FA1_ivyerigx.xlsx]Cash Flow - Standardized!R19C21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9" s="4"/>
      </tp>
      <tp>
        <v>1227</v>
        <stp/>
        <stp>##V3_BDHV12</stp>
        <stp>XOM US Equity</stp>
        <stp>DISP_FXD_&amp;_INTANGIBLES_DETAILED</stp>
        <stp>FQ2 2000</stp>
        <stp>FQ2 2000</stp>
        <stp>[FA1_ivyerigx.xlsx]Cash Flow - Standardized!R19C10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9" s="4"/>
      </tp>
      <tp>
        <v>458</v>
        <stp/>
        <stp>##V3_BDHV12</stp>
        <stp>XOM US Equity</stp>
        <stp>DISP_FXD_&amp;_INTANGIBLES_DETAILED</stp>
        <stp>FQ2 2001</stp>
        <stp>FQ2 2001</stp>
        <stp>[FA1_ivyerigx.xlsx]Cash Flow - Standardized!R19C14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9" s="4"/>
      </tp>
      <tp>
        <v>10782</v>
        <stp/>
        <stp>##V3_BDHV12</stp>
        <stp>XOM US Equity</stp>
        <stp>NI_INCLUDING_MINORITY_INT_RATIO</stp>
        <stp>FQ3 2006</stp>
        <stp>FQ3 2006</stp>
        <stp>[FA1_ivyerigx.xlsx]Income - Adjusted!R22C35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2" s="2"/>
      </tp>
      <tp>
        <v>5879</v>
        <stp/>
        <stp>##V3_BDHV12</stp>
        <stp>XOM US Equity</stp>
        <stp>NI_INCLUDING_MINORITY_INT_RATIO</stp>
        <stp>FQ3 2004</stp>
        <stp>FQ3 2004</stp>
        <stp>[FA1_ivyerigx.xlsx]Income - Adjusted!R22C27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2" s="2"/>
      </tp>
      <tp>
        <v>281</v>
        <stp/>
        <stp>##V3_BDHV12</stp>
        <stp>XOM US Equity</stp>
        <stp>MIN_NONCONTROL_INTEREST_CREDITS</stp>
        <stp>FQ4 2004</stp>
        <stp>FQ4 2004</stp>
        <stp>[FA1_ivyerigx.xlsx]Income - Adjusted!R23C28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3" s="2"/>
      </tp>
      <tp>
        <v>95</v>
        <stp/>
        <stp>##V3_BDHV12</stp>
        <stp>XOM US Equity</stp>
        <stp>MIN_NONCONTROL_INTEREST_CREDITS</stp>
        <stp>FQ1 2005</stp>
        <stp>FQ1 2005</stp>
        <stp>[FA1_ivyerigx.xlsx]Income - Adjusted!R23C29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3" s="2"/>
      </tp>
      <tp>
        <v>2422</v>
        <stp/>
        <stp>##V3_BDHV12</stp>
        <stp>XOM US Equity</stp>
        <stp>CF_CHNG_NON_CASH_WORK_CAP</stp>
        <stp>FQ3 2002</stp>
        <stp>FQ3 2002</stp>
        <stp>[FA1_ivyerigx.xlsx]Cash Flow - Standardized!R12C19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2" s="4"/>
      </tp>
      <tp>
        <v>-492</v>
        <stp/>
        <stp>##V3_BDHV12</stp>
        <stp>XOM US Equity</stp>
        <stp>CF_CHNG_NON_CASH_WORK_CAP</stp>
        <stp>FQ3 2000</stp>
        <stp>FQ3 2000</stp>
        <stp>[FA1_ivyerigx.xlsx]Cash Flow - Standardized!R12C11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2" s="4"/>
      </tp>
      <tp>
        <v>1843</v>
        <stp/>
        <stp>##V3_BDHV12</stp>
        <stp>XOM US Equity</stp>
        <stp>CF_CHNG_NON_CASH_WORK_CAP</stp>
        <stp>FQ1 2007</stp>
        <stp>FQ1 2007</stp>
        <stp>[FA1_ivyerigx.xlsx]Cash Flow - Standardized!R12C37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2" s="4"/>
      </tp>
      <tp>
        <v>-424</v>
        <stp/>
        <stp>##V3_BDHV12</stp>
        <stp>XOM US Equity</stp>
        <stp>CF_CHNG_NON_CASH_WORK_CAP</stp>
        <stp>FQ3 2001</stp>
        <stp>FQ3 2001</stp>
        <stp>[FA1_ivyerigx.xlsx]Cash Flow - Standardized!R12C15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2" s="4"/>
      </tp>
      <tp>
        <v>3257</v>
        <stp/>
        <stp>##V3_BDHV12</stp>
        <stp>XOM US Equity</stp>
        <stp>CF_CHNG_NON_CASH_WORK_CAP</stp>
        <stp>FQ1 2006</stp>
        <stp>FQ1 2006</stp>
        <stp>[FA1_ivyerigx.xlsx]Cash Flow - Standardized!R12C33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2" s="4"/>
      </tp>
      <tp>
        <v>1.79</v>
        <stp/>
        <stp>##V3_BDHV12</stp>
        <stp>XOM US Equity</stp>
        <stp>IS_EARN_BEF_XO_ITEMS_PER_SH</stp>
        <stp>FQ3 2006</stp>
        <stp>FQ3 2006</stp>
        <stp>[FA1_ivyerigx.xlsx]Per Share!R15C35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5" s="5"/>
      </tp>
      <tp>
        <v>0.88</v>
        <stp/>
        <stp>##V3_BDHV12</stp>
        <stp>XOM US Equity</stp>
        <stp>IS_EARN_BEF_XO_ITEMS_PER_SH</stp>
        <stp>FQ3 2004</stp>
        <stp>FQ3 2004</stp>
        <stp>[FA1_ivyerigx.xlsx]Per Share!R15C27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5" s="5"/>
      </tp>
      <tp>
        <v>9.2792999999999992</v>
        <stp/>
        <stp>##V3_BDHV12</stp>
        <stp>XOM US Equity</stp>
        <stp>BOOK_VAL_PER_SH</stp>
        <stp>FQ1 2000</stp>
        <stp>FQ1 2000</stp>
        <stp>[FA1_ivyerigx.xlsx]Per Share!R26C9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26" s="5"/>
      </tp>
      <tp>
        <v>1.83</v>
        <stp/>
        <stp>##V3_BDHV12</stp>
        <stp>XOM US Equity</stp>
        <stp>IS_DIL_EPS_CONT_OPS</stp>
        <stp>FQ2 2007</stp>
        <stp>FQ2 2007</stp>
        <stp>[FA1_ivyerigx.xlsx]Income - Adjusted!R41C38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41" s="2"/>
      </tp>
      <tp>
        <v>1329</v>
        <stp/>
        <stp>##V3_BDHV12</stp>
        <stp>XOM US Equity</stp>
        <stp>INVTRY_RAW_MATERIALS</stp>
        <stp>FQ3 2004</stp>
        <stp>FQ3 2004</stp>
        <stp>[FA1_ivyerigx.xlsx]Bal Sheet - Standardized!R13C27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3" s="3"/>
      </tp>
      <tp>
        <v>1596</v>
        <stp/>
        <stp>##V3_BDHV12</stp>
        <stp>XOM US Equity</stp>
        <stp>INVTRY_RAW_MATERIALS</stp>
        <stp>FQ2 2006</stp>
        <stp>FQ2 2006</stp>
        <stp>[FA1_ivyerigx.xlsx]Bal Sheet - Standardized!R13C34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3" s="3"/>
      </tp>
      <tp>
        <v>1282</v>
        <stp/>
        <stp>##V3_BDHV12</stp>
        <stp>XOM US Equity</stp>
        <stp>INVTRY_RAW_MATERIALS</stp>
        <stp>FQ3 2003</stp>
        <stp>FQ3 2003</stp>
        <stp>[FA1_ivyerigx.xlsx]Bal Sheet - Standardized!R13C23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3" s="3"/>
      </tp>
      <tp>
        <v>1364</v>
        <stp/>
        <stp>##V3_BDHV12</stp>
        <stp>XOM US Equity</stp>
        <stp>INVTRY_RAW_MATERIALS</stp>
        <stp>FQ2 2005</stp>
        <stp>FQ2 2005</stp>
        <stp>[FA1_ivyerigx.xlsx]Bal Sheet - Standardized!R13C30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3" s="3"/>
      </tp>
      <tp>
        <v>0</v>
        <stp/>
        <stp>##V3_BDHV12</stp>
        <stp>XOM US Equity</stp>
        <stp>BS_OPTIONS_GRANTED</stp>
        <stp>FQ2 2007</stp>
        <stp>FQ2 2007</stp>
        <stp>[FA1_ivyerigx.xlsx]Bal Sheet - Standardized!R58C38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58" s="3"/>
      </tp>
      <tp>
        <v>0</v>
        <stp/>
        <stp>##V3_BDHV12</stp>
        <stp>XOM US Equity</stp>
        <stp>BS_OPTIONS_GRANTED</stp>
        <stp>FQ3 2007</stp>
        <stp>FQ3 2007</stp>
        <stp>[FA1_ivyerigx.xlsx]Bal Sheet - Standardized!R58C39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58" s="3"/>
      </tp>
      <tp>
        <v>0</v>
        <stp/>
        <stp>##V3_BDHV12</stp>
        <stp>XOM US Equity</stp>
        <stp>BS_OPTIONS_GRANTED</stp>
        <stp>FQ1 2005</stp>
        <stp>FQ1 2005</stp>
        <stp>[FA1_ivyerigx.xlsx]Bal Sheet - Standardized!R58C29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58" s="3"/>
      </tp>
      <tp>
        <v>2.2200000000000002</v>
        <stp/>
        <stp>##V3_BDHV12</stp>
        <stp>XOM US Equity</stp>
        <stp>IS_DIL_EPS_BEF_XO</stp>
        <stp>FQ2 2008</stp>
        <stp>FQ2 2008</stp>
        <stp>[FA1_ivyerigx.xlsx]Per Share!R18C42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8" s="5"/>
      </tp>
      <tp>
        <v>0.39</v>
        <stp/>
        <stp>##V3_BDHV12</stp>
        <stp>XOM US Equity</stp>
        <stp>IS_DIL_EPS_BEF_XO</stp>
        <stp>FQ2 2002</stp>
        <stp>FQ2 2002</stp>
        <stp>[FA1_ivyerigx.xlsx]Per Share!R18C18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8" s="5"/>
      </tp>
      <tp>
        <v>2029</v>
        <stp/>
        <stp>##V3_BDHV12</stp>
        <stp>XOM US Equity</stp>
        <stp>INVTRY_RAW_MATERIALS</stp>
        <stp>FQ2 2007</stp>
        <stp>FQ2 2007</stp>
        <stp>[FA1_ivyerigx.xlsx]Bal Sheet - Standardized!R13C38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3" s="3"/>
      </tp>
      <tp>
        <v>143238</v>
        <stp/>
        <stp>##V3_BDHV12</stp>
        <stp>XOM US Equity</stp>
        <stp>BS_TOT_NON_CUR_ASSET</stp>
        <stp>FQ4 2006</stp>
        <stp>FQ4 2006</stp>
        <stp>[FA1_ivyerigx.xlsx]Bal Sheet - Standardized!R26C36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26" s="3"/>
      </tp>
      <tp>
        <v>1337</v>
        <stp/>
        <stp>##V3_BDHV12</stp>
        <stp>XOM US Equity</stp>
        <stp>IS_DEPR_EXP</stp>
        <stp>FQ3 1998</stp>
        <stp>FQ3 1998</stp>
        <stp>[FA1_ivyerigx.xlsx]Income - Adjusted!R56C3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56" s="2"/>
      </tp>
      <tp>
        <v>6645</v>
        <stp/>
        <stp>##V3_BDHV12</stp>
        <stp>XOM US Equity</stp>
        <stp>BS_LT_BORROW</stp>
        <stp>FQ4 2006</stp>
        <stp>FQ4 2006</stp>
        <stp>[FA1_ivyerigx.xlsx]Bal Sheet - Standardized!R36C36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6" s="3"/>
      </tp>
      <tp>
        <v>8883</v>
        <stp/>
        <stp>##V3_BDHV12</stp>
        <stp>XOM US Equity</stp>
        <stp>EBITDA</stp>
        <stp>FQ1 2003</stp>
        <stp>FQ1 2003</stp>
        <stp>[FA1_ivyerigx.xlsx]Cash Flow - Standardized!R42C21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2" s="4"/>
      </tp>
      <tp>
        <v>7226</v>
        <stp/>
        <stp>##V3_BDHV12</stp>
        <stp>XOM US Equity</stp>
        <stp>EBITDA</stp>
        <stp>FQ3 2003</stp>
        <stp>FQ3 2003</stp>
        <stp>[FA1_ivyerigx.xlsx]Cash Flow - Standardized!R42C23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2" s="4"/>
      </tp>
      <tp>
        <v>8089</v>
        <stp/>
        <stp>##V3_BDHV12</stp>
        <stp>XOM US Equity</stp>
        <stp>EBITDA</stp>
        <stp>FQ2 2003</stp>
        <stp>FQ2 2003</stp>
        <stp>[FA1_ivyerigx.xlsx]Cash Flow - Standardized!R42C22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2" s="4"/>
      </tp>
      <tp>
        <v>8032</v>
        <stp/>
        <stp>##V3_BDHV12</stp>
        <stp>XOM US Equity</stp>
        <stp>EBITDA</stp>
        <stp>FQ4 2003</stp>
        <stp>FQ4 2003</stp>
        <stp>[FA1_ivyerigx.xlsx]Cash Flow - Standardized!R42C24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2" s="4"/>
      </tp>
      <tp>
        <v>1313</v>
        <stp/>
        <stp>##V3_BDHV12</stp>
        <stp>XOM US Equity</stp>
        <stp>BS_LT_INVEST</stp>
        <stp>FQ4 2001</stp>
        <stp>FQ4 2001</stp>
        <stp>[FA1_ivyerigx.xlsx]Bal Sheet - Standardized!R22C16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22" s="3"/>
      </tp>
      <tp>
        <v>9382</v>
        <stp/>
        <stp>##V3_BDHV12</stp>
        <stp>XOM US Equity</stp>
        <stp>EBITDA</stp>
        <stp>FQ1 2001</stp>
        <stp>FQ1 2001</stp>
        <stp>[FA1_ivyerigx.xlsx]Cash Flow - Standardized!R42C13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2" s="4"/>
      </tp>
      <tp>
        <v>4814</v>
        <stp/>
        <stp>##V3_BDHV12</stp>
        <stp>XOM US Equity</stp>
        <stp>EBITDA</stp>
        <stp>FQ4 2001</stp>
        <stp>FQ4 2001</stp>
        <stp>[FA1_ivyerigx.xlsx]Cash Flow - Standardized!R42C16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2" s="4"/>
      </tp>
      <tp t="s">
        <v>—</v>
        <stp/>
        <stp>##V3_BDHV12</stp>
        <stp>XOM US Equity</stp>
        <stp>IS_DEPR_EXP</stp>
        <stp>FQ3 1999</stp>
        <stp>FQ3 1999</stp>
        <stp>[FA1_ivyerigx.xlsx]Income - Adjusted!R56C7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56" s="2"/>
      </tp>
      <tp>
        <v>18611</v>
        <stp/>
        <stp>##V3_BDHV12</stp>
        <stp>XOM US Equity</stp>
        <stp>EBITDA</stp>
        <stp>FQ4 2007</stp>
        <stp>FQ4 2007</stp>
        <stp>[FA1_ivyerigx.xlsx]Cash Flow - Standardized!R42C40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42" s="4"/>
      </tp>
      <tp>
        <v>2014</v>
        <stp/>
        <stp>##V3_BDHV12</stp>
        <stp>XOM US Equity</stp>
        <stp>BS_LT_INVEST</stp>
        <stp>FQ4 2000</stp>
        <stp>FQ4 2000</stp>
        <stp>[FA1_ivyerigx.xlsx]Bal Sheet - Standardized!R22C12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22" s="3"/>
      </tp>
      <tp>
        <v>6220</v>
        <stp/>
        <stp>##V3_BDHV12</stp>
        <stp>XOM US Equity</stp>
        <stp>BS_LT_BORROW</stp>
        <stp>FQ4 2005</stp>
        <stp>FQ4 2005</stp>
        <stp>[FA1_ivyerigx.xlsx]Bal Sheet - Standardized!R36C32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6" s="3"/>
      </tp>
      <tp>
        <v>134993</v>
        <stp/>
        <stp>##V3_BDHV12</stp>
        <stp>XOM US Equity</stp>
        <stp>BS_TOT_NON_CUR_ASSET</stp>
        <stp>FQ4 2005</stp>
        <stp>FQ4 2005</stp>
        <stp>[FA1_ivyerigx.xlsx]Bal Sheet - Standardized!R26C32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26" s="3"/>
      </tp>
      <tp>
        <v>17626</v>
        <stp/>
        <stp>##V3_BDHV12</stp>
        <stp>XOM US Equity</stp>
        <stp>EBITDA</stp>
        <stp>FQ4 2005</stp>
        <stp>FQ4 2005</stp>
        <stp>[FA1_ivyerigx.xlsx]Cash Flow - Standardized!R42C32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2" s="4"/>
      </tp>
      <tp>
        <v>37509</v>
        <stp/>
        <stp>##V3_BDHV12</stp>
        <stp>XOM US Equity</stp>
        <stp>BS_LT_INVEST</stp>
        <stp>FQ1 2008</stp>
        <stp>FQ1 2008</stp>
        <stp>[FA1_ivyerigx.xlsx]Bal Sheet - Standardized!R22C41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22" s="3"/>
      </tp>
      <tp>
        <v>24.032699999999998</v>
        <stp/>
        <stp>##V3_BDHV12</stp>
        <stp>XOM US Equity</stp>
        <stp>TANG_BOOK_VAL_PER_SH</stp>
        <stp>FQ2 2008</stp>
        <stp>FQ2 2008</stp>
        <stp>[FA1_ivyerigx.xlsx]Per Share!R27C42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27" s="5"/>
      </tp>
      <tp>
        <v>11.117100000000001</v>
        <stp/>
        <stp>##V3_BDHV12</stp>
        <stp>XOM US Equity</stp>
        <stp>TANG_BOOK_VAL_PER_SH</stp>
        <stp>FQ2 2002</stp>
        <stp>FQ2 2002</stp>
        <stp>[FA1_ivyerigx.xlsx]Per Share!R27C18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27" s="5"/>
      </tp>
      <tp>
        <v>181</v>
        <stp/>
        <stp>##V3_BDHV12</stp>
        <stp>XOM US Equity</stp>
        <stp>DISP_FXD_&amp;_INTANGIBLES_DETAILED</stp>
        <stp>FQ3 2002</stp>
        <stp>FQ3 2002</stp>
        <stp>[FA1_ivyerigx.xlsx]Cash Flow - Standardized!R19C19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9" s="4"/>
      </tp>
      <tp>
        <v>538</v>
        <stp/>
        <stp>##V3_BDHV12</stp>
        <stp>XOM US Equity</stp>
        <stp>DISP_FXD_&amp;_INTANGIBLES_DETAILED</stp>
        <stp>FQ1 2007</stp>
        <stp>FQ1 2007</stp>
        <stp>[FA1_ivyerigx.xlsx]Cash Flow - Standardized!R19C37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9" s="4"/>
      </tp>
      <tp>
        <v>505</v>
        <stp/>
        <stp>##V3_BDHV12</stp>
        <stp>XOM US Equity</stp>
        <stp>DISP_FXD_&amp;_INTANGIBLES_DETAILED</stp>
        <stp>FQ3 2000</stp>
        <stp>FQ3 2000</stp>
        <stp>[FA1_ivyerigx.xlsx]Cash Flow - Standardized!R19C11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9" s="4"/>
      </tp>
      <tp>
        <v>394</v>
        <stp/>
        <stp>##V3_BDHV12</stp>
        <stp>XOM US Equity</stp>
        <stp>DISP_FXD_&amp;_INTANGIBLES_DETAILED</stp>
        <stp>FQ1 2006</stp>
        <stp>FQ1 2006</stp>
        <stp>[FA1_ivyerigx.xlsx]Cash Flow - Standardized!R19C33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9" s="4"/>
      </tp>
      <tp>
        <v>0.21</v>
        <stp/>
        <stp>##V3_BDHV12</stp>
        <stp>XOM US Equity</stp>
        <stp>IS_EARN_BEF_XO_ITEMS_PER_SH</stp>
        <stp>FQ1 1999</stp>
        <stp>FQ1 1999</stp>
        <stp>[FA1_ivyerigx.xlsx]Income - Adjusted!R35C5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35" s="2"/>
      </tp>
      <tp>
        <v>0.25</v>
        <stp/>
        <stp>##V3_BDHV12</stp>
        <stp>XOM US Equity</stp>
        <stp>IS_EARN_BEF_XO_ITEMS_PER_SH</stp>
        <stp>FQ2 1999</stp>
        <stp>FQ2 1999</stp>
        <stp>[FA1_ivyerigx.xlsx]Income - Adjusted!R35C6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35" s="2"/>
      </tp>
      <tp>
        <v>0.31</v>
        <stp/>
        <stp>##V3_BDHV12</stp>
        <stp>XOM US Equity</stp>
        <stp>IS_EARN_BEF_XO_ITEMS_PER_SH</stp>
        <stp>FQ3 1999</stp>
        <stp>FQ3 1999</stp>
        <stp>[FA1_ivyerigx.xlsx]Income - Adjusted!R35C7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35" s="2"/>
      </tp>
      <tp>
        <v>143</v>
        <stp/>
        <stp>##V3_BDHV12</stp>
        <stp>XOM US Equity</stp>
        <stp>DISP_FXD_&amp;_INTANGIBLES_DETAILED</stp>
        <stp>FQ3 2001</stp>
        <stp>FQ3 2001</stp>
        <stp>[FA1_ivyerigx.xlsx]Cash Flow - Standardized!R19C15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9" s="4"/>
      </tp>
      <tp t="s">
        <v>—</v>
        <stp/>
        <stp>##V3_BDHV12</stp>
        <stp>XOM US Equity</stp>
        <stp>IS_EXPORT_SALES</stp>
        <stp>FQ2 2005</stp>
        <stp>FQ2 2005</stp>
        <stp>[FA1_ivyerigx.xlsx]Income - Adjusted!R55C30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55" s="2"/>
      </tp>
      <tp t="s">
        <v>—</v>
        <stp/>
        <stp>##V3_BDHV12</stp>
        <stp>XOM US Equity</stp>
        <stp>IS_EXPORT_SALES</stp>
        <stp>FQ1 2006</stp>
        <stp>FQ1 2006</stp>
        <stp>[FA1_ivyerigx.xlsx]Income - Adjusted!R55C33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55" s="2"/>
      </tp>
      <tp>
        <v>7955</v>
        <stp/>
        <stp>##V3_BDHV12</stp>
        <stp>XOM US Equity</stp>
        <stp>NI_INCLUDING_MINORITY_INT_RATIO</stp>
        <stp>FQ1 2005</stp>
        <stp>FQ1 2005</stp>
        <stp>[FA1_ivyerigx.xlsx]Income - Adjusted!R22C29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2" s="2"/>
      </tp>
      <tp>
        <v>8701</v>
        <stp/>
        <stp>##V3_BDHV12</stp>
        <stp>XOM US Equity</stp>
        <stp>NI_INCLUDING_MINORITY_INT_RATIO</stp>
        <stp>FQ4 2004</stp>
        <stp>FQ4 2004</stp>
        <stp>[FA1_ivyerigx.xlsx]Income - Adjusted!R22C28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2" s="2"/>
      </tp>
      <tp t="s">
        <v>—</v>
        <stp/>
        <stp>##V3_BDHV12</stp>
        <stp>XOM US Equity</stp>
        <stp>IS_EXPORT_SALES</stp>
        <stp>FQ4 2001</stp>
        <stp>FQ4 2001</stp>
        <stp>[FA1_ivyerigx.xlsx]Income - Adjusted!R55C16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55" s="2"/>
      </tp>
      <tp t="s">
        <v>—</v>
        <stp/>
        <stp>##V3_BDHV12</stp>
        <stp>XOM US Equity</stp>
        <stp>IS_EXPORT_SALES</stp>
        <stp>FQ4 2002</stp>
        <stp>FQ4 2002</stp>
        <stp>[FA1_ivyerigx.xlsx]Income - Adjusted!R55C20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55" s="2"/>
      </tp>
      <tp t="s">
        <v>—</v>
        <stp/>
        <stp>##V3_BDHV12</stp>
        <stp>XOM US Equity</stp>
        <stp>IS_EXPORT_SALES</stp>
        <stp>FQ2 2004</stp>
        <stp>FQ2 2004</stp>
        <stp>[FA1_ivyerigx.xlsx]Income - Adjusted!R55C26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55" s="2"/>
      </tp>
      <tp>
        <v>292</v>
        <stp/>
        <stp>##V3_BDHV12</stp>
        <stp>XOM US Equity</stp>
        <stp>MIN_NONCONTROL_INTEREST_CREDITS</stp>
        <stp>FQ3 2006</stp>
        <stp>FQ3 2006</stp>
        <stp>[FA1_ivyerigx.xlsx]Income - Adjusted!R23C35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23" s="2"/>
      </tp>
      <tp>
        <v>199</v>
        <stp/>
        <stp>##V3_BDHV12</stp>
        <stp>XOM US Equity</stp>
        <stp>MIN_NONCONTROL_INTEREST_CREDITS</stp>
        <stp>FQ3 2004</stp>
        <stp>FQ3 2004</stp>
        <stp>[FA1_ivyerigx.xlsx]Income - Adjusted!R23C27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23" s="2"/>
      </tp>
      <tp>
        <v>13418</v>
        <stp/>
        <stp>##V3_BDHV12</stp>
        <stp>XOM US Equity</stp>
        <stp>CF_CASH_FROM_OPER</stp>
        <stp>FQ2 2008</stp>
        <stp>FQ2 2008</stp>
        <stp>[FA1_ivyerigx.xlsx]Cash Flow - Standardized!R15C42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15" s="4"/>
      </tp>
      <tp>
        <v>12308</v>
        <stp/>
        <stp>##V3_BDHV12</stp>
        <stp>XOM US Equity</stp>
        <stp>CF_CASH_FROM_OPER</stp>
        <stp>FQ4 2004</stp>
        <stp>FQ4 2004</stp>
        <stp>[FA1_ivyerigx.xlsx]Cash Flow - Standardized!R15C28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15" s="4"/>
      </tp>
      <tp>
        <v>10890</v>
        <stp/>
        <stp>##V3_BDHV12</stp>
        <stp>XOM US Equity</stp>
        <stp>EARN_FOR_COMMON</stp>
        <stp>FQ1 2008</stp>
        <stp>FQ1 2008</stp>
        <stp>[FA1_ivyerigx.xlsx]Income - Adjusted!R27C41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7" s="2"/>
      </tp>
      <tp>
        <v>5079</v>
        <stp/>
        <stp>##V3_BDHV12</stp>
        <stp>XOM US Equity</stp>
        <stp>CF_CASH_FROM_OPER</stp>
        <stp>FQ4 2002</stp>
        <stp>FQ4 2002</stp>
        <stp>[FA1_ivyerigx.xlsx]Cash Flow - Standardized!R15C20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15" s="4"/>
      </tp>
      <tp>
        <v>6954</v>
        <stp/>
        <stp>##V3_BDHV12</stp>
        <stp>XOM US Equity</stp>
        <stp>EQY_SH_OUT</stp>
        <stp>FQ1 2000</stp>
        <stp>FQ1 2000</stp>
        <stp>[FA1_ivyerigx.xlsx]Stock Value!R13C9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13" s="6"/>
      </tp>
      <tp>
        <v>6799</v>
        <stp/>
        <stp>##V3_BDHV12</stp>
        <stp>XOM US Equity</stp>
        <stp>CF_CASH_FROM_OPER</stp>
        <stp>FQ4 2003</stp>
        <stp>FQ4 2003</stp>
        <stp>[FA1_ivyerigx.xlsx]Cash Flow - Standardized!R15C24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15" s="4"/>
      </tp>
      <tp>
        <v>4876.8140000000003</v>
        <stp/>
        <stp>##V3_BDHV12</stp>
        <stp>XOM US Equity</stp>
        <stp>EQY_SH_OUT</stp>
        <stp>FQ3 1998</stp>
        <stp>FQ3 1998</stp>
        <stp>[FA1_ivyerigx.xlsx]Stock Value!R13C3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13" s="6"/>
      </tp>
      <tp>
        <v>1.31</v>
        <stp/>
        <stp>##V3_BDHV12</stp>
        <stp>XOM US Equity</stp>
        <stp>IS_EARN_BEF_XO_ITEMS_PER_SH</stp>
        <stp>FQ4 2004</stp>
        <stp>FQ4 2004</stp>
        <stp>[FA1_ivyerigx.xlsx]Per Share!R15C28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B15" s="5"/>
      </tp>
      <tp>
        <v>1.23</v>
        <stp/>
        <stp>##V3_BDHV12</stp>
        <stp>XOM US Equity</stp>
        <stp>IS_EARN_BEF_XO_ITEMS_PER_SH</stp>
        <stp>FQ1 2005</stp>
        <stp>FQ1 2005</stp>
        <stp>[FA1_ivyerigx.xlsx]Per Share!R15C29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C15" s="5"/>
      </tp>
      <tp>
        <v>0.49940000000000001</v>
        <stp/>
        <stp>##V3_BDHV12</stp>
        <stp>XOM US Equity</stp>
        <stp>FREE_CASH_FLOW_PER_SH</stp>
        <stp>FQ4 2000</stp>
        <stp>FQ4 2000</stp>
        <stp>[FA1_ivyerigx.xlsx]Cash Flow - Standardized!R49C12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9" s="4"/>
      </tp>
      <tp>
        <v>0.26650000000000001</v>
        <stp/>
        <stp>##V3_BDHV12</stp>
        <stp>XOM US Equity</stp>
        <stp>FREE_CASH_FLOW_PER_SH</stp>
        <stp>FQ4 2002</stp>
        <stp>FQ4 2002</stp>
        <stp>[FA1_ivyerigx.xlsx]Cash Flow - Standardized!R49C20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9" s="4"/>
      </tp>
      <tp>
        <v>0.6</v>
        <stp/>
        <stp>##V3_BDHV12</stp>
        <stp>XOM US Equity</stp>
        <stp>IS_DIL_EPS_CONT_OPS</stp>
        <stp>FQ2 2000</stp>
        <stp>FQ2 2000</stp>
        <stp>[FA1_ivyerigx.xlsx]Income - Adjusted!R41C10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1" s="2"/>
      </tp>
      <tp>
        <v>0.55000000000000004</v>
        <stp/>
        <stp>##V3_BDHV12</stp>
        <stp>XOM US Equity</stp>
        <stp>IS_DIL_EPS_CONT_OPS</stp>
        <stp>FQ3 2003</stp>
        <stp>FQ3 2003</stp>
        <stp>[FA1_ivyerigx.xlsx]Income - Adjusted!R41C23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1" s="2"/>
      </tp>
      <tp>
        <v>1.62</v>
        <stp/>
        <stp>##V3_BDHV12</stp>
        <stp>XOM US Equity</stp>
        <stp>IS_DIL_EPS_CONT_OPS</stp>
        <stp>FQ1 2007</stp>
        <stp>FQ1 2007</stp>
        <stp>[FA1_ivyerigx.xlsx]Income - Adjusted!R41C37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1" s="2"/>
      </tp>
      <tp>
        <v>1.69</v>
        <stp/>
        <stp>##V3_BDHV12</stp>
        <stp>XOM US Equity</stp>
        <stp>IS_DIL_EPS_CONT_OPS</stp>
        <stp>FQ4 2006</stp>
        <stp>FQ4 2006</stp>
        <stp>[FA1_ivyerigx.xlsx]Income - Adjusted!R41C36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1" s="2"/>
      </tp>
      <tp>
        <v>7429</v>
        <stp/>
        <stp>##V3_BDHV12</stp>
        <stp>XOM US Equity</stp>
        <stp>OTHER_CURRENT_LIABS_DETAILED</stp>
        <stp>FQ2 2005</stp>
        <stp>FQ2 2005</stp>
        <stp>[FA1_ivyerigx.xlsx]Bal Sheet - Standardized!R34C30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34" s="3"/>
      </tp>
      <tp>
        <v>3573.9083000000001</v>
        <stp/>
        <stp>##V3_BDHV12</stp>
        <stp>XOM US Equity</stp>
        <stp>CF_FREE_CASH_FLOW_FIRM</stp>
        <stp>FQ4 2000</stp>
        <stp>FQ4 2000</stp>
        <stp>[FA1_ivyerigx.xlsx]Cash Flow - Standardized!R47C12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47" s="4"/>
      </tp>
      <tp>
        <v>6906</v>
        <stp/>
        <stp>##V3_BDHV12</stp>
        <stp>XOM US Equity</stp>
        <stp>OTHER_CURRENT_LIABS_DETAILED</stp>
        <stp>FQ3 2003</stp>
        <stp>FQ3 2003</stp>
        <stp>[FA1_ivyerigx.xlsx]Bal Sheet - Standardized!R34C23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34" s="3"/>
      </tp>
      <tp>
        <v>10288</v>
        <stp/>
        <stp>##V3_BDHV12</stp>
        <stp>XOM US Equity</stp>
        <stp>OTHER_CURRENT_LIABS_DETAILED</stp>
        <stp>FQ2 2006</stp>
        <stp>FQ2 2006</stp>
        <stp>[FA1_ivyerigx.xlsx]Bal Sheet - Standardized!R34C34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34" s="3"/>
      </tp>
      <tp>
        <v>7175</v>
        <stp/>
        <stp>##V3_BDHV12</stp>
        <stp>XOM US Equity</stp>
        <stp>OTHER_CURRENT_LIABS_DETAILED</stp>
        <stp>FQ3 2004</stp>
        <stp>FQ3 2004</stp>
        <stp>[FA1_ivyerigx.xlsx]Bal Sheet - Standardized!R34C27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34" s="3"/>
      </tp>
      <tp>
        <v>1932.2125000000001</v>
        <stp/>
        <stp>##V3_BDHV12</stp>
        <stp>XOM US Equity</stp>
        <stp>CF_FREE_CASH_FLOW_FIRM</stp>
        <stp>FQ4 2002</stp>
        <stp>FQ4 2002</stp>
        <stp>[FA1_ivyerigx.xlsx]Cash Flow - Standardized!R47C20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47" s="4"/>
      </tp>
      <tp>
        <v>1.2</v>
        <stp/>
        <stp>##V3_BDHV12</stp>
        <stp>XOM US Equity</stp>
        <stp>IS_DIL_EPS_BEF_XO</stp>
        <stp>FQ2 2005</stp>
        <stp>FQ2 2005</stp>
        <stp>[FA1_ivyerigx.xlsx]Per Share!R18C30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18" s="5"/>
      </tp>
      <tp>
        <v>0.63</v>
        <stp/>
        <stp>##V3_BDHV12</stp>
        <stp>XOM US Equity</stp>
        <stp>IS_DIL_EPS_BEF_XO</stp>
        <stp>FQ2 2001</stp>
        <stp>FQ2 2001</stp>
        <stp>[FA1_ivyerigx.xlsx]Per Share!R18C14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18" s="5"/>
      </tp>
      <tp>
        <v>1.37</v>
        <stp/>
        <stp>##V3_BDHV12</stp>
        <stp>XOM US Equity</stp>
        <stp>IS_DIL_EPS_BEF_XO</stp>
        <stp>FQ1 2006</stp>
        <stp>FQ1 2006</stp>
        <stp>[FA1_ivyerigx.xlsx]Per Share!R18C33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18" s="5"/>
      </tp>
      <tp>
        <v>0.3</v>
        <stp/>
        <stp>##V3_BDHV12</stp>
        <stp>XOM US Equity</stp>
        <stp>IS_DIL_EPS_BEF_XO</stp>
        <stp>FQ1 2002</stp>
        <stp>FQ1 2002</stp>
        <stp>[FA1_ivyerigx.xlsx]Per Share!R18C17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18" s="5"/>
      </tp>
      <tp>
        <v>8636</v>
        <stp/>
        <stp>##V3_BDHV12</stp>
        <stp>XOM US Equity</stp>
        <stp>OTHER_CURRENT_LIABS_DETAILED</stp>
        <stp>FQ2 2007</stp>
        <stp>FQ2 2007</stp>
        <stp>[FA1_ivyerigx.xlsx]Bal Sheet - Standardized!R34C38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34" s="3"/>
      </tp>
      <tp t="s">
        <v>—</v>
        <stp/>
        <stp>##V3_BDHV12</stp>
        <stp>XOM US Equity</stp>
        <stp>BS_OPTIONS_GRANTED</stp>
        <stp>FQ2 2000</stp>
        <stp>FQ2 2000</stp>
        <stp>[FA1_ivyerigx.xlsx]Bal Sheet - Standardized!R58C10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8" s="3"/>
      </tp>
      <tp t="s">
        <v>—</v>
        <stp/>
        <stp>##V3_BDHV12</stp>
        <stp>XOM US Equity</stp>
        <stp>BS_OPTIONS_GRANTED</stp>
        <stp>FQ3 2000</stp>
        <stp>FQ3 2000</stp>
        <stp>[FA1_ivyerigx.xlsx]Bal Sheet - Standardized!R58C11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8" s="3"/>
      </tp>
      <tp>
        <v>10.670500000000001</v>
        <stp/>
        <stp>##V3_BDHV12</stp>
        <stp>XOM US Equity</stp>
        <stp>TANG_BOOK_VAL_PER_SH</stp>
        <stp>FQ1 2002</stp>
        <stp>FQ1 2002</stp>
        <stp>[FA1_ivyerigx.xlsx]Per Share!R27C17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27" s="5"/>
      </tp>
      <tp>
        <v>18.588899999999999</v>
        <stp/>
        <stp>##V3_BDHV12</stp>
        <stp>XOM US Equity</stp>
        <stp>TANG_BOOK_VAL_PER_SH</stp>
        <stp>FQ1 2006</stp>
        <stp>FQ1 2006</stp>
        <stp>[FA1_ivyerigx.xlsx]Per Share!R27C33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27" s="5"/>
      </tp>
      <tp>
        <v>10.676399999999999</v>
        <stp/>
        <stp>##V3_BDHV12</stp>
        <stp>XOM US Equity</stp>
        <stp>TANG_BOOK_VAL_PER_SH</stp>
        <stp>FQ2 2001</stp>
        <stp>FQ2 2001</stp>
        <stp>[FA1_ivyerigx.xlsx]Per Share!R27C14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27" s="5"/>
      </tp>
      <tp>
        <v>16.588999999999999</v>
        <stp/>
        <stp>##V3_BDHV12</stp>
        <stp>XOM US Equity</stp>
        <stp>TANG_BOOK_VAL_PER_SH</stp>
        <stp>FQ2 2005</stp>
        <stp>FQ2 2005</stp>
        <stp>[FA1_ivyerigx.xlsx]Per Share!R27C30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27" s="5"/>
      </tp>
      <tp>
        <v>5.5106000000000002</v>
        <stp/>
        <stp>##V3_BDHV12</stp>
        <stp>XOM US Equity</stp>
        <stp>PROF_MARGIN</stp>
        <stp>FQ1 2002</stp>
        <stp>FQ1 2002</stp>
        <stp>[FA1_ivyerigx.xlsx]Income - Adjusted!R51C17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1" s="2"/>
      </tp>
      <tp>
        <v>12.9514</v>
        <stp/>
        <stp>##V3_BDHV12</stp>
        <stp>XOM US Equity</stp>
        <stp>PROF_MARGIN</stp>
        <stp>FQ1 2003</stp>
        <stp>FQ1 2003</stp>
        <stp>[FA1_ivyerigx.xlsx]Income - Adjusted!R51C21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1" s="2"/>
      </tp>
      <tp>
        <v>9.8460000000000001</v>
        <stp/>
        <stp>##V3_BDHV12</stp>
        <stp>XOM US Equity</stp>
        <stp>PROF_MARGIN</stp>
        <stp>FQ1 2001</stp>
        <stp>FQ1 2001</stp>
        <stp>[FA1_ivyerigx.xlsx]Income - Adjusted!R51C13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1" s="2"/>
      </tp>
      <tp>
        <v>10.8809</v>
        <stp/>
        <stp>##V3_BDHV12</stp>
        <stp>XOM US Equity</stp>
        <stp>PROF_MARGIN</stp>
        <stp>FQ1 2005</stp>
        <stp>FQ1 2005</stp>
        <stp>[FA1_ivyerigx.xlsx]Income - Adjusted!R51C29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1" s="2"/>
      </tp>
      <tp>
        <v>9.1207999999999991</v>
        <stp/>
        <stp>##V3_BDHV12</stp>
        <stp>XOM US Equity</stp>
        <stp>PROF_MARGIN</stp>
        <stp>FQ1 2004</stp>
        <stp>FQ1 2004</stp>
        <stp>[FA1_ivyerigx.xlsx]Income - Adjusted!R51C25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1" s="2"/>
      </tp>
      <tp>
        <v>10.6798</v>
        <stp/>
        <stp>##V3_BDHV12</stp>
        <stp>XOM US Equity</stp>
        <stp>PROF_MARGIN</stp>
        <stp>FQ1 2006</stp>
        <stp>FQ1 2006</stp>
        <stp>[FA1_ivyerigx.xlsx]Income - Adjusted!R51C33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1" s="2"/>
      </tp>
      <tp>
        <v>12.0692</v>
        <stp/>
        <stp>##V3_BDHV12</stp>
        <stp>XOM US Equity</stp>
        <stp>PROF_MARGIN</stp>
        <stp>FQ1 2007</stp>
        <stp>FQ1 2007</stp>
        <stp>[FA1_ivyerigx.xlsx]Income - Adjusted!R51C37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1" s="2"/>
      </tp>
      <tp>
        <v>10.392099999999999</v>
        <stp/>
        <stp>##V3_BDHV12</stp>
        <stp>XOM US Equity</stp>
        <stp>PROF_MARGIN</stp>
        <stp>FQ1 2008</stp>
        <stp>FQ1 2008</stp>
        <stp>[FA1_ivyerigx.xlsx]Income - Adjusted!R51C41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1" s="2"/>
      </tp>
      <tp>
        <v>8.9423999999999992</v>
        <stp/>
        <stp>##V3_BDHV12</stp>
        <stp>XOM US Equity</stp>
        <stp>PROF_MARGIN</stp>
        <stp>FQ2 2001</stp>
        <stp>FQ2 2001</stp>
        <stp>[FA1_ivyerigx.xlsx]Income - Adjusted!R51C14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1" s="2"/>
      </tp>
      <tp>
        <v>8.2949999999999999</v>
        <stp/>
        <stp>##V3_BDHV12</stp>
        <stp>XOM US Equity</stp>
        <stp>PROF_MARGIN</stp>
        <stp>FQ2 2003</stp>
        <stp>FQ2 2003</stp>
        <stp>[FA1_ivyerigx.xlsx]Income - Adjusted!R51C22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1" s="2"/>
      </tp>
      <tp>
        <v>9.1554000000000002</v>
        <stp/>
        <stp>##V3_BDHV12</stp>
        <stp>XOM US Equity</stp>
        <stp>PROF_MARGIN</stp>
        <stp>FQ2 2000</stp>
        <stp>FQ2 2000</stp>
        <stp>[FA1_ivyerigx.xlsx]Income - Adjusted!R51C10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1" s="2"/>
      </tp>
      <tp>
        <v>5.9423000000000004</v>
        <stp/>
        <stp>##V3_BDHV12</stp>
        <stp>XOM US Equity</stp>
        <stp>PROF_MARGIN</stp>
        <stp>FQ2 2002</stp>
        <stp>FQ2 2002</stp>
        <stp>[FA1_ivyerigx.xlsx]Income - Adjusted!R51C18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1" s="2"/>
      </tp>
      <tp>
        <v>11.759399999999999</v>
        <stp/>
        <stp>##V3_BDHV12</stp>
        <stp>XOM US Equity</stp>
        <stp>PROF_MARGIN</stp>
        <stp>FQ2 2007</stp>
        <stp>FQ2 2007</stp>
        <stp>[FA1_ivyerigx.xlsx]Income - Adjusted!R51C38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1" s="2"/>
      </tp>
      <tp>
        <v>11.797800000000001</v>
        <stp/>
        <stp>##V3_BDHV12</stp>
        <stp>XOM US Equity</stp>
        <stp>PROF_MARGIN</stp>
        <stp>FQ2 2006</stp>
        <stp>FQ2 2006</stp>
        <stp>[FA1_ivyerigx.xlsx]Income - Adjusted!R51C34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1" s="2"/>
      </tp>
      <tp>
        <v>9.6577999999999999</v>
        <stp/>
        <stp>##V3_BDHV12</stp>
        <stp>XOM US Equity</stp>
        <stp>PROF_MARGIN</stp>
        <stp>FQ2 2005</stp>
        <stp>FQ2 2005</stp>
        <stp>[FA1_ivyerigx.xlsx]Income - Adjusted!R51C30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1" s="2"/>
      </tp>
      <tp>
        <v>9.2335999999999991</v>
        <stp/>
        <stp>##V3_BDHV12</stp>
        <stp>XOM US Equity</stp>
        <stp>PROF_MARGIN</stp>
        <stp>FQ2 2004</stp>
        <stp>FQ2 2004</stp>
        <stp>[FA1_ivyerigx.xlsx]Income - Adjusted!R51C26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1" s="2"/>
      </tp>
      <tp>
        <v>9.4012999999999991</v>
        <stp/>
        <stp>##V3_BDHV12</stp>
        <stp>XOM US Equity</stp>
        <stp>PROF_MARGIN</stp>
        <stp>FQ2 2008</stp>
        <stp>FQ2 2008</stp>
        <stp>[FA1_ivyerigx.xlsx]Income - Adjusted!R51C42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1" s="2"/>
      </tp>
      <tp>
        <v>8.6052</v>
        <stp/>
        <stp>##V3_BDHV12</stp>
        <stp>XOM US Equity</stp>
        <stp>PROF_MARGIN</stp>
        <stp>FQ3 2000</stp>
        <stp>FQ3 2000</stp>
        <stp>[FA1_ivyerigx.xlsx]Income - Adjusted!R51C11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1" s="2"/>
      </tp>
      <tp>
        <v>6.9050000000000002</v>
        <stp/>
        <stp>##V3_BDHV12</stp>
        <stp>XOM US Equity</stp>
        <stp>PROF_MARGIN</stp>
        <stp>FQ3 2003</stp>
        <stp>FQ3 2003</stp>
        <stp>[FA1_ivyerigx.xlsx]Income - Adjusted!R51C23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1" s="2"/>
      </tp>
      <tp>
        <v>6.9408000000000003</v>
        <stp/>
        <stp>##V3_BDHV12</stp>
        <stp>XOM US Equity</stp>
        <stp>PROF_MARGIN</stp>
        <stp>FQ3 2001</stp>
        <stp>FQ3 2001</stp>
        <stp>[FA1_ivyerigx.xlsx]Income - Adjusted!R51C15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1" s="2"/>
      </tp>
      <tp>
        <v>5.5585000000000004</v>
        <stp/>
        <stp>##V3_BDHV12</stp>
        <stp>XOM US Equity</stp>
        <stp>PROF_MARGIN</stp>
        <stp>FQ3 2002</stp>
        <stp>FQ3 2002</stp>
        <stp>[FA1_ivyerigx.xlsx]Income - Adjusted!R51C19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1" s="2"/>
      </tp>
      <tp>
        <v>11.852600000000001</v>
        <stp/>
        <stp>##V3_BDHV12</stp>
        <stp>XOM US Equity</stp>
        <stp>PROF_MARGIN</stp>
        <stp>FQ3 2006</stp>
        <stp>FQ3 2006</stp>
        <stp>[FA1_ivyerigx.xlsx]Income - Adjusted!R51C35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1" s="2"/>
      </tp>
      <tp>
        <v>10.3225</v>
        <stp/>
        <stp>##V3_BDHV12</stp>
        <stp>XOM US Equity</stp>
        <stp>PROF_MARGIN</stp>
        <stp>FQ3 2007</stp>
        <stp>FQ3 2007</stp>
        <stp>[FA1_ivyerigx.xlsx]Income - Adjusted!R51C39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1" s="2"/>
      </tp>
      <tp>
        <v>11.200100000000001</v>
        <stp/>
        <stp>##V3_BDHV12</stp>
        <stp>XOM US Equity</stp>
        <stp>PROF_MARGIN</stp>
        <stp>FQ3 2005</stp>
        <stp>FQ3 2005</stp>
        <stp>[FA1_ivyerigx.xlsx]Income - Adjusted!R51C31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1" s="2"/>
      </tp>
      <tp>
        <v>8.3765000000000001</v>
        <stp/>
        <stp>##V3_BDHV12</stp>
        <stp>XOM US Equity</stp>
        <stp>PROF_MARGIN</stp>
        <stp>FQ3 2004</stp>
        <stp>FQ3 2004</stp>
        <stp>[FA1_ivyerigx.xlsx]Income - Adjusted!R51C27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1" s="2"/>
      </tp>
      <tp>
        <v>11.4046</v>
        <stp/>
        <stp>##V3_BDHV12</stp>
        <stp>XOM US Equity</stp>
        <stp>PROF_MARGIN</stp>
        <stp>FQ4 2004</stp>
        <stp>FQ4 2004</stp>
        <stp>[FA1_ivyerigx.xlsx]Income - Adjusted!R51C28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1" s="2"/>
      </tp>
      <tp>
        <v>12.1294</v>
        <stp/>
        <stp>##V3_BDHV12</stp>
        <stp>XOM US Equity</stp>
        <stp>PROF_MARGIN</stp>
        <stp>FQ4 2005</stp>
        <stp>FQ4 2005</stp>
        <stp>[FA1_ivyerigx.xlsx]Income - Adjusted!R51C32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1" s="2"/>
      </tp>
      <tp>
        <v>12.793900000000001</v>
        <stp/>
        <stp>##V3_BDHV12</stp>
        <stp>XOM US Equity</stp>
        <stp>PROF_MARGIN</stp>
        <stp>FQ4 2006</stp>
        <stp>FQ4 2006</stp>
        <stp>[FA1_ivyerigx.xlsx]Income - Adjusted!R51C36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1" s="2"/>
      </tp>
      <tp>
        <v>11.2874</v>
        <stp/>
        <stp>##V3_BDHV12</stp>
        <stp>XOM US Equity</stp>
        <stp>PROF_MARGIN</stp>
        <stp>FQ4 2007</stp>
        <stp>FQ4 2007</stp>
        <stp>[FA1_ivyerigx.xlsx]Income - Adjusted!R51C40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1" s="2"/>
      </tp>
      <tp>
        <v>6.5306999999999995</v>
        <stp/>
        <stp>##V3_BDHV12</stp>
        <stp>XOM US Equity</stp>
        <stp>PROF_MARGIN</stp>
        <stp>FQ4 2001</stp>
        <stp>FQ4 2001</stp>
        <stp>[FA1_ivyerigx.xlsx]Income - Adjusted!R51C16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1" s="2"/>
      </tp>
      <tp>
        <v>7.2762000000000002</v>
        <stp/>
        <stp>##V3_BDHV12</stp>
        <stp>XOM US Equity</stp>
        <stp>PROF_MARGIN</stp>
        <stp>FQ4 2002</stp>
        <stp>FQ4 2002</stp>
        <stp>[FA1_ivyerigx.xlsx]Income - Adjusted!R51C20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1" s="2"/>
      </tp>
      <tp>
        <v>11.9366</v>
        <stp/>
        <stp>##V3_BDHV12</stp>
        <stp>XOM US Equity</stp>
        <stp>PROF_MARGIN</stp>
        <stp>FQ4 2003</stp>
        <stp>FQ4 2003</stp>
        <stp>[FA1_ivyerigx.xlsx]Income - Adjusted!R51C24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1" s="2"/>
      </tp>
      <tp>
        <v>9.2150999999999996</v>
        <stp/>
        <stp>##V3_BDHV12</stp>
        <stp>XOM US Equity</stp>
        <stp>PROF_MARGIN</stp>
        <stp>FQ4 2000</stp>
        <stp>FQ4 2000</stp>
        <stp>[FA1_ivyerigx.xlsx]Income - Adjusted!R51C12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1" s="2"/>
      </tp>
      <tp>
        <v>12.8355</v>
        <stp/>
        <stp>##V3_BDHV12</stp>
        <stp>XOM US Equity</stp>
        <stp>PX_TO_FREE_CASH_FLOW</stp>
        <stp>FQ1 2007</stp>
        <stp>FQ1 2007</stp>
        <stp>[FA1_ivyerigx.xlsx]Cash Flow - Standardized!R50C37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0" s="4"/>
      </tp>
      <tp t="s">
        <v>—</v>
        <stp/>
        <stp>##V3_BDHV12</stp>
        <stp>XOM US Equity</stp>
        <stp>IS_EXPORT_SALES</stp>
        <stp>FQ3 2005</stp>
        <stp>FQ3 2005</stp>
        <stp>[FA1_ivyerigx.xlsx]Income - Adjusted!R55C31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55" s="2"/>
      </tp>
      <tp t="s">
        <v>—</v>
        <stp/>
        <stp>##V3_BDHV12</stp>
        <stp>XOM US Equity</stp>
        <stp>IS_EXPORT_SALES</stp>
        <stp>FQ4 2003</stp>
        <stp>FQ4 2003</stp>
        <stp>[FA1_ivyerigx.xlsx]Income - Adjusted!R55C24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55" s="2"/>
      </tp>
      <tp t="s">
        <v>—</v>
        <stp/>
        <stp>##V3_BDHV12</stp>
        <stp>XOM US Equity</stp>
        <stp>IS_EXPORT_SALES</stp>
        <stp>FQ1 2007</stp>
        <stp>FQ1 2007</stp>
        <stp>[FA1_ivyerigx.xlsx]Income - Adjusted!R55C37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55" s="2"/>
      </tp>
      <tp t="s">
        <v>—</v>
        <stp/>
        <stp>##V3_BDHV12</stp>
        <stp>XOM US Equity</stp>
        <stp>IS_EXPORT_SALES</stp>
        <stp>FQ3 2004</stp>
        <stp>FQ3 2004</stp>
        <stp>[FA1_ivyerigx.xlsx]Income - Adjusted!R55C27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55" s="2"/>
      </tp>
      <tp t="s">
        <v>—</v>
        <stp/>
        <stp>##V3_BDHV12</stp>
        <stp>XOM US Equity</stp>
        <stp>IS_EXPORT_SALES</stp>
        <stp>FQ4 2000</stp>
        <stp>FQ4 2000</stp>
        <stp>[FA1_ivyerigx.xlsx]Income - Adjusted!R55C12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55" s="2"/>
      </tp>
      <tp>
        <v>157</v>
        <stp/>
        <stp>##V3_BDHV12</stp>
        <stp>XOM US Equity</stp>
        <stp>MIN_NONCONTROL_INTEREST_CREDITS</stp>
        <stp>FQ4 2000</stp>
        <stp>FQ4 2000</stp>
        <stp>[FA1_ivyerigx.xlsx]Income - Adjusted!R23C12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L23" s="2"/>
      </tp>
      <tp>
        <v>101</v>
        <stp/>
        <stp>##V3_BDHV12</stp>
        <stp>XOM US Equity</stp>
        <stp>MIN_NONCONTROL_INTEREST_CREDITS</stp>
        <stp>FQ4 2002</stp>
        <stp>FQ4 2002</stp>
        <stp>[FA1_ivyerigx.xlsx]Income - Adjusted!R23C20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T23" s="2"/>
      </tp>
      <tp>
        <v>253</v>
        <stp/>
        <stp>##V3_BDHV12</stp>
        <stp>XOM US Equity</stp>
        <stp>MIN_NONCONTROL_INTEREST_CREDITS</stp>
        <stp>FQ2 2006</stp>
        <stp>FQ2 2006</stp>
        <stp>[FA1_ivyerigx.xlsx]Income - Adjusted!R23C34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23" s="2"/>
      </tp>
      <tp>
        <v>142</v>
        <stp/>
        <stp>##V3_BDHV12</stp>
        <stp>XOM US Equity</stp>
        <stp>MIN_NONCONTROL_INTEREST_CREDITS</stp>
        <stp>FQ2 2004</stp>
        <stp>FQ2 2004</stp>
        <stp>[FA1_ivyerigx.xlsx]Income - Adjusted!R23C26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23" s="2"/>
      </tp>
      <tp>
        <v>212</v>
        <stp/>
        <stp>##V3_BDHV12</stp>
        <stp>XOM US Equity</stp>
        <stp>MIN_NONCONTROL_INTEREST_CREDITS</stp>
        <stp>FQ1 2001</stp>
        <stp>FQ1 2001</stp>
        <stp>[FA1_ivyerigx.xlsx]Income - Adjusted!R23C13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23" s="2"/>
      </tp>
      <tp>
        <v>373</v>
        <stp/>
        <stp>##V3_BDHV12</stp>
        <stp>XOM US Equity</stp>
        <stp>MIN_NONCONTROL_INTEREST_CREDITS</stp>
        <stp>FQ1 2003</stp>
        <stp>FQ1 2003</stp>
        <stp>[FA1_ivyerigx.xlsx]Income - Adjusted!R23C21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23" s="2"/>
      </tp>
      <tp>
        <v>8862</v>
        <stp/>
        <stp>##V3_BDHV12</stp>
        <stp>XOM US Equity</stp>
        <stp>CF_CASH_FROM_OPER</stp>
        <stp>FQ4 2006</stp>
        <stp>FQ4 2006</stp>
        <stp>[FA1_ivyerigx.xlsx]Cash Flow - Standardized!R15C36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15" s="4"/>
      </tp>
      <tp>
        <v>10390</v>
        <stp/>
        <stp>##V3_BDHV12</stp>
        <stp>XOM US Equity</stp>
        <stp>CF_CASH_FROM_OPER</stp>
        <stp>FQ4 2005</stp>
        <stp>FQ4 2005</stp>
        <stp>[FA1_ivyerigx.xlsx]Cash Flow - Standardized!R15C32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15" s="4"/>
      </tp>
      <tp>
        <v>0.20499999999999999</v>
        <stp/>
        <stp>##V3_BDHV12</stp>
        <stp>XOM US Equity</stp>
        <stp>EQY_DPS</stp>
        <stp>FQ2 1999</stp>
        <stp>FQ2 1999</stp>
        <stp>[FA1_ivyerigx.xlsx]Per Share!R20C6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0" s="5"/>
      </tp>
      <tp>
        <v>0.20499999999999999</v>
        <stp/>
        <stp>##V3_BDHV12</stp>
        <stp>XOM US Equity</stp>
        <stp>EQY_DPS</stp>
        <stp>FQ3 1999</stp>
        <stp>FQ3 1999</stp>
        <stp>[FA1_ivyerigx.xlsx]Per Share!R20C7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0" s="5"/>
      </tp>
      <tp>
        <v>0.20499999999999999</v>
        <stp/>
        <stp>##V3_BDHV12</stp>
        <stp>XOM US Equity</stp>
        <stp>EQY_DPS</stp>
        <stp>FQ1 1999</stp>
        <stp>FQ1 1999</stp>
        <stp>[FA1_ivyerigx.xlsx]Per Share!R20C5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0" s="5"/>
      </tp>
      <tp>
        <v>0.46100000000000002</v>
        <stp/>
        <stp>##V3_BDHV12</stp>
        <stp>XOM US Equity</stp>
        <stp>FREE_CASH_FLOW_PER_SH</stp>
        <stp>FQ2 2001</stp>
        <stp>FQ2 2001</stp>
        <stp>[FA1_ivyerigx.xlsx]Cash Flow - Standardized!R49C14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9" s="4"/>
      </tp>
      <tp>
        <v>0.40310000000000001</v>
        <stp/>
        <stp>##V3_BDHV12</stp>
        <stp>XOM US Equity</stp>
        <stp>FREE_CASH_FLOW_PER_SH</stp>
        <stp>FQ3 2001</stp>
        <stp>FQ3 2001</stp>
        <stp>[FA1_ivyerigx.xlsx]Cash Flow - Standardized!R49C15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9" s="4"/>
      </tp>
      <tp>
        <v>0.83650000000000002</v>
        <stp/>
        <stp>##V3_BDHV12</stp>
        <stp>XOM US Equity</stp>
        <stp>FREE_CASH_FLOW_PER_SH</stp>
        <stp>FQ2 2005</stp>
        <stp>FQ2 2005</stp>
        <stp>[FA1_ivyerigx.xlsx]Cash Flow - Standardized!R49C30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9" s="4"/>
      </tp>
      <tp>
        <v>1.9668000000000001</v>
        <stp/>
        <stp>##V3_BDHV12</stp>
        <stp>XOM US Equity</stp>
        <stp>FREE_CASH_FLOW_PER_SH</stp>
        <stp>FQ3 2005</stp>
        <stp>FQ3 2005</stp>
        <stp>[FA1_ivyerigx.xlsx]Cash Flow - Standardized!R49C31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9" s="4"/>
      </tp>
      <tp>
        <v>0.62</v>
        <stp/>
        <stp>##V3_BDHV12</stp>
        <stp>XOM US Equity</stp>
        <stp>IS_DIL_EPS_CONT_OPS</stp>
        <stp>FQ2 2003</stp>
        <stp>FQ2 2003</stp>
        <stp>[FA1_ivyerigx.xlsx]Income - Adjusted!R41C22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1" s="2"/>
      </tp>
      <tp>
        <v>0.6</v>
        <stp/>
        <stp>##V3_BDHV12</stp>
        <stp>XOM US Equity</stp>
        <stp>IS_DIL_EPS_CONT_OPS</stp>
        <stp>FQ3 2000</stp>
        <stp>FQ3 2000</stp>
        <stp>[FA1_ivyerigx.xlsx]Income - Adjusted!R41C11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1" s="2"/>
      </tp>
      <tp>
        <v>0.83</v>
        <stp/>
        <stp>##V3_BDHV12</stp>
        <stp>XOM US Equity</stp>
        <stp>IS_DIL_EPS_CONT_OPS</stp>
        <stp>FQ1 2004</stp>
        <stp>FQ1 2004</stp>
        <stp>[FA1_ivyerigx.xlsx]Income - Adjusted!R41C25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1" s="2"/>
      </tp>
      <tp>
        <v>9489</v>
        <stp/>
        <stp>##V3_BDHV12</stp>
        <stp>XOM US Equity</stp>
        <stp>OTHER_CURRENT_LIABS_DETAILED</stp>
        <stp>FQ3 2005</stp>
        <stp>FQ3 2005</stp>
        <stp>[FA1_ivyerigx.xlsx]Bal Sheet - Standardized!R34C31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34" s="3"/>
      </tp>
      <tp>
        <v>12320.412399999999</v>
        <stp/>
        <stp>##V3_BDHV12</stp>
        <stp>XOM US Equity</stp>
        <stp>CF_FREE_CASH_FLOW_FIRM</stp>
        <stp>FQ3 2005</stp>
        <stp>FQ3 2005</stp>
        <stp>[FA1_ivyerigx.xlsx]Cash Flow - Standardized!R47C31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47" s="4"/>
      </tp>
      <tp>
        <v>5425.6089000000002</v>
        <stp/>
        <stp>##V3_BDHV12</stp>
        <stp>XOM US Equity</stp>
        <stp>CF_FREE_CASH_FLOW_FIRM</stp>
        <stp>FQ2 2005</stp>
        <stp>FQ2 2005</stp>
        <stp>[FA1_ivyerigx.xlsx]Cash Flow - Standardized!R47C30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47" s="4"/>
      </tp>
      <tp>
        <v>3624</v>
        <stp/>
        <stp>##V3_BDHV12</stp>
        <stp>XOM US Equity</stp>
        <stp>OTHER_CURRENT_LIABS_DETAILED</stp>
        <stp>FQ1 2002</stp>
        <stp>FQ1 2002</stp>
        <stp>[FA1_ivyerigx.xlsx]Bal Sheet - Standardized!R34C17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34" s="3"/>
      </tp>
      <tp>
        <v>10654</v>
        <stp/>
        <stp>##V3_BDHV12</stp>
        <stp>XOM US Equity</stp>
        <stp>OTHER_CURRENT_LIABS_DETAILED</stp>
        <stp>FQ4 2007</stp>
        <stp>FQ4 2007</stp>
        <stp>[FA1_ivyerigx.xlsx]Bal Sheet - Standardized!R34C40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34" s="3"/>
      </tp>
      <tp>
        <v>5791</v>
        <stp/>
        <stp>##V3_BDHV12</stp>
        <stp>XOM US Equity</stp>
        <stp>OTHER_CURRENT_LIABS_DETAILED</stp>
        <stp>FQ2 2003</stp>
        <stp>FQ2 2003</stp>
        <stp>[FA1_ivyerigx.xlsx]Bal Sheet - Standardized!R34C22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34" s="3"/>
      </tp>
      <tp>
        <v>6637</v>
        <stp/>
        <stp>##V3_BDHV12</stp>
        <stp>XOM US Equity</stp>
        <stp>OTHER_CURRENT_LIABS_DETAILED</stp>
        <stp>FQ1 2001</stp>
        <stp>FQ1 2001</stp>
        <stp>[FA1_ivyerigx.xlsx]Bal Sheet - Standardized!R34C13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34" s="3"/>
      </tp>
      <tp>
        <v>2808.8182999999999</v>
        <stp/>
        <stp>##V3_BDHV12</stp>
        <stp>XOM US Equity</stp>
        <stp>CF_FREE_CASH_FLOW_FIRM</stp>
        <stp>FQ3 2001</stp>
        <stp>FQ3 2001</stp>
        <stp>[FA1_ivyerigx.xlsx]Cash Flow - Standardized!R47C15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47" s="4"/>
      </tp>
      <tp>
        <v>3216.9625999999998</v>
        <stp/>
        <stp>##V3_BDHV12</stp>
        <stp>XOM US Equity</stp>
        <stp>CF_FREE_CASH_FLOW_FIRM</stp>
        <stp>FQ2 2001</stp>
        <stp>FQ2 2001</stp>
        <stp>[FA1_ivyerigx.xlsx]Cash Flow - Standardized!R47C14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47" s="4"/>
      </tp>
      <tp>
        <v>12454</v>
        <stp/>
        <stp>##V3_BDHV12</stp>
        <stp>XOM US Equity</stp>
        <stp>OTHER_CURRENT_LIABS_DETAILED</stp>
        <stp>FQ3 2006</stp>
        <stp>FQ3 2006</stp>
        <stp>[FA1_ivyerigx.xlsx]Bal Sheet - Standardized!R34C35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34" s="3"/>
      </tp>
      <tp>
        <v>6318</v>
        <stp/>
        <stp>##V3_BDHV12</stp>
        <stp>XOM US Equity</stp>
        <stp>OTHER_CURRENT_LIABS_DETAILED</stp>
        <stp>FQ2 2004</stp>
        <stp>FQ2 2004</stp>
        <stp>[FA1_ivyerigx.xlsx]Bal Sheet - Standardized!R34C26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34" s="3"/>
      </tp>
      <tp>
        <v>0</v>
        <stp/>
        <stp>##V3_BDHV12</stp>
        <stp>XOM US Equity</stp>
        <stp>BS_OPTIONS_GRANTED</stp>
        <stp>FQ4 2007</stp>
        <stp>FQ4 2007</stp>
        <stp>[FA1_ivyerigx.xlsx]Bal Sheet - Standardized!R58C40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8" s="3"/>
      </tp>
      <tp>
        <v>0</v>
        <stp/>
        <stp>##V3_BDHV12</stp>
        <stp>XOM US Equity</stp>
        <stp>BS_OPTIONS_GRANTED</stp>
        <stp>FQ4 2005</stp>
        <stp>FQ4 2005</stp>
        <stp>[FA1_ivyerigx.xlsx]Bal Sheet - Standardized!R58C32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8" s="3"/>
      </tp>
      <tp>
        <v>1.58</v>
        <stp/>
        <stp>##V3_BDHV12</stp>
        <stp>XOM US Equity</stp>
        <stp>IS_DIL_EPS_BEF_XO</stp>
        <stp>FQ3 2005</stp>
        <stp>FQ3 2005</stp>
        <stp>[FA1_ivyerigx.xlsx]Per Share!R18C31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18" s="5"/>
      </tp>
      <tp>
        <v>0.46</v>
        <stp/>
        <stp>##V3_BDHV12</stp>
        <stp>XOM US Equity</stp>
        <stp>IS_DIL_EPS_BEF_XO</stp>
        <stp>FQ3 2001</stp>
        <stp>FQ3 2001</stp>
        <stp>[FA1_ivyerigx.xlsx]Per Share!R18C15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18" s="5"/>
      </tp>
      <tp>
        <v>10300</v>
        <stp/>
        <stp>##V3_BDHV12</stp>
        <stp>XOM US Equity</stp>
        <stp>OTHER_CURRENT_LIABS_DETAILED</stp>
        <stp>FQ3 2007</stp>
        <stp>FQ3 2007</stp>
        <stp>[FA1_ivyerigx.xlsx]Bal Sheet - Standardized!R34C39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34" s="3"/>
      </tp>
      <tp>
        <v>0</v>
        <stp/>
        <stp>##V3_BDHV12</stp>
        <stp>XOM US Equity</stp>
        <stp>BS_OPTIONS_GRANTED</stp>
        <stp>FQ3 2003</stp>
        <stp>FQ3 2003</stp>
        <stp>[FA1_ivyerigx.xlsx]Bal Sheet - Standardized!R58C23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8" s="3"/>
      </tp>
      <tp>
        <v>0</v>
        <stp/>
        <stp>##V3_BDHV12</stp>
        <stp>XOM US Equity</stp>
        <stp>BS_OPTIONS_GRANTED</stp>
        <stp>FQ2 2003</stp>
        <stp>FQ2 2003</stp>
        <stp>[FA1_ivyerigx.xlsx]Bal Sheet - Standardized!R58C22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8" s="3"/>
      </tp>
      <tp>
        <v>0</v>
        <stp/>
        <stp>##V3_BDHV12</stp>
        <stp>XOM US Equity</stp>
        <stp>BS_OPTIONS_GRANTED</stp>
        <stp>FQ1 2003</stp>
        <stp>FQ1 2003</stp>
        <stp>[FA1_ivyerigx.xlsx]Bal Sheet - Standardized!R58C21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8" s="3"/>
      </tp>
      <tp>
        <v>0</v>
        <stp/>
        <stp>##V3_BDHV12</stp>
        <stp>XOM US Equity</stp>
        <stp>BS_OPTIONS_GRANTED</stp>
        <stp>FQ4 2003</stp>
        <stp>FQ4 2003</stp>
        <stp>[FA1_ivyerigx.xlsx]Bal Sheet - Standardized!R58C24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8" s="3"/>
      </tp>
      <tp t="s">
        <v>—</v>
        <stp/>
        <stp>##V3_BDHV12</stp>
        <stp>XOM US Equity</stp>
        <stp>BS_OPTIONS_GRANTED</stp>
        <stp>FQ1 2001</stp>
        <stp>FQ1 2001</stp>
        <stp>[FA1_ivyerigx.xlsx]Bal Sheet - Standardized!R58C13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8" s="3"/>
      </tp>
      <tp>
        <v>34.716999999999999</v>
        <stp/>
        <stp>##V3_BDHV12</stp>
        <stp>XOM US Equity</stp>
        <stp>BS_OPTIONS_GRANTED</stp>
        <stp>FQ4 2001</stp>
        <stp>FQ4 2001</stp>
        <stp>[FA1_ivyerigx.xlsx]Bal Sheet - Standardized!R58C16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8" s="3"/>
      </tp>
      <tp>
        <v>17915</v>
        <stp/>
        <stp>##V3_BDHV12</stp>
        <stp>XOM US Equity</stp>
        <stp>EBITDA</stp>
        <stp>FQ2 2007</stp>
        <stp>FQ2 2007</stp>
        <stp>[FA1_ivyerigx.xlsx]Cash Flow - Standardized!R42C38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42" s="4"/>
      </tp>
      <tp>
        <v>17069</v>
        <stp/>
        <stp>##V3_BDHV12</stp>
        <stp>XOM US Equity</stp>
        <stp>EBITDA</stp>
        <stp>FQ3 2007</stp>
        <stp>FQ3 2007</stp>
        <stp>[FA1_ivyerigx.xlsx]Cash Flow - Standardized!R42C39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42" s="4"/>
      </tp>
      <tp>
        <v>13031</v>
        <stp/>
        <stp>##V3_BDHV12</stp>
        <stp>XOM US Equity</stp>
        <stp>EBITDA</stp>
        <stp>FQ1 2005</stp>
        <stp>FQ1 2005</stp>
        <stp>[FA1_ivyerigx.xlsx]Cash Flow - Standardized!R42C29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42" s="4"/>
      </tp>
      <tp>
        <v>10.793100000000001</v>
        <stp/>
        <stp>##V3_BDHV12</stp>
        <stp>XOM US Equity</stp>
        <stp>TANG_BOOK_VAL_PER_SH</stp>
        <stp>FQ3 2001</stp>
        <stp>FQ3 2001</stp>
        <stp>[FA1_ivyerigx.xlsx]Per Share!R27C15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27" s="5"/>
      </tp>
      <tp>
        <v>17.338999999999999</v>
        <stp/>
        <stp>##V3_BDHV12</stp>
        <stp>XOM US Equity</stp>
        <stp>TANG_BOOK_VAL_PER_SH</stp>
        <stp>FQ3 2005</stp>
        <stp>FQ3 2005</stp>
        <stp>[FA1_ivyerigx.xlsx]Per Share!R27C31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27" s="5"/>
      </tp>
      <tp>
        <v>15.8749</v>
        <stp/>
        <stp>##V3_BDHV12</stp>
        <stp>XOM US Equity</stp>
        <stp>PX_TO_FREE_CASH_FLOW</stp>
        <stp>FQ1 2004</stp>
        <stp>FQ1 2004</stp>
        <stp>[FA1_ivyerigx.xlsx]Cash Flow - Standardized!R50C25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0" s="4"/>
      </tp>
      <tp>
        <v>15.3687</v>
        <stp/>
        <stp>##V3_BDHV12</stp>
        <stp>XOM US Equity</stp>
        <stp>PX_TO_FREE_CASH_FLOW</stp>
        <stp>FQ2 2004</stp>
        <stp>FQ2 2004</stp>
        <stp>[FA1_ivyerigx.xlsx]Cash Flow - Standardized!R50C26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0" s="4"/>
      </tp>
      <tp>
        <v>13.747</v>
        <stp/>
        <stp>##V3_BDHV12</stp>
        <stp>XOM US Equity</stp>
        <stp>PX_TO_FREE_CASH_FLOW</stp>
        <stp>FQ3 2004</stp>
        <stp>FQ3 2004</stp>
        <stp>[FA1_ivyerigx.xlsx]Cash Flow - Standardized!R50C27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0" s="4"/>
      </tp>
      <tp>
        <v>11.453099999999999</v>
        <stp/>
        <stp>##V3_BDHV12</stp>
        <stp>XOM US Equity</stp>
        <stp>PX_TO_FREE_CASH_FLOW</stp>
        <stp>FQ3 2006</stp>
        <stp>FQ3 2006</stp>
        <stp>[FA1_ivyerigx.xlsx]Cash Flow - Standardized!R50C35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0" s="4"/>
      </tp>
      <tp>
        <v>10.2491</v>
        <stp/>
        <stp>##V3_BDHV12</stp>
        <stp>XOM US Equity</stp>
        <stp>PX_TO_FREE_CASH_FLOW</stp>
        <stp>FQ2 2006</stp>
        <stp>FQ2 2006</stp>
        <stp>[FA1_ivyerigx.xlsx]Cash Flow - Standardized!R50C34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0" s="4"/>
      </tp>
      <tp>
        <v>9694</v>
        <stp/>
        <stp>##V3_BDHV12</stp>
        <stp>XOM US Equity</stp>
        <stp>NI_INCLUDING_MINORITY_INT_RATIO</stp>
        <stp>FQ3 2007</stp>
        <stp>FQ3 2007</stp>
        <stp>[FA1_ivyerigx.xlsx]Income - Adjusted!R22C39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2" s="2"/>
      </tp>
      <tp t="s">
        <v>—</v>
        <stp/>
        <stp>##V3_BDHV12</stp>
        <stp>XOM US Equity</stp>
        <stp>IS_EXPORT_SALES</stp>
        <stp>FQ3 2006</stp>
        <stp>FQ3 2006</stp>
        <stp>[FA1_ivyerigx.xlsx]Income - Adjusted!R55C35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55" s="2"/>
      </tp>
      <tp t="s">
        <v>—</v>
        <stp/>
        <stp>##V3_BDHV12</stp>
        <stp>XOM US Equity</stp>
        <stp>IS_EXPORT_SALES</stp>
        <stp>FQ1 2005</stp>
        <stp>FQ1 2005</stp>
        <stp>[FA1_ivyerigx.xlsx]Income - Adjusted!R55C29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55" s="2"/>
      </tp>
      <tp t="s">
        <v>—</v>
        <stp/>
        <stp>##V3_BDHV12</stp>
        <stp>XOM US Equity</stp>
        <stp>IS_EXPORT_SALES</stp>
        <stp>FQ2 2007</stp>
        <stp>FQ2 2007</stp>
        <stp>[FA1_ivyerigx.xlsx]Income - Adjusted!R55C38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55" s="2"/>
      </tp>
      <tp>
        <v>100</v>
        <stp/>
        <stp>##V3_BDHV12</stp>
        <stp>XOM US Equity</stp>
        <stp>MIN_NONCONTROL_INTEREST_CREDITS</stp>
        <stp>FQ2 2003</stp>
        <stp>FQ2 2003</stp>
        <stp>[FA1_ivyerigx.xlsx]Income - Adjusted!R23C22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23" s="2"/>
      </tp>
      <tp>
        <v>73</v>
        <stp/>
        <stp>##V3_BDHV12</stp>
        <stp>XOM US Equity</stp>
        <stp>MIN_NONCONTROL_INTEREST_CREDITS</stp>
        <stp>FQ3 2000</stp>
        <stp>FQ3 2000</stp>
        <stp>[FA1_ivyerigx.xlsx]Income - Adjusted!R23C11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23" s="2"/>
      </tp>
      <tp>
        <v>154</v>
        <stp/>
        <stp>##V3_BDHV12</stp>
        <stp>XOM US Equity</stp>
        <stp>MIN_NONCONTROL_INTEREST_CREDITS</stp>
        <stp>FQ1 2004</stp>
        <stp>FQ1 2004</stp>
        <stp>[FA1_ivyerigx.xlsx]Income - Adjusted!R23C25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23" s="2"/>
      </tp>
      <tp>
        <v>2640</v>
        <stp/>
        <stp>##V3_BDHV12</stp>
        <stp>XOM US Equity</stp>
        <stp>EARN_FOR_COMMON</stp>
        <stp>FQ3 2002</stp>
        <stp>FQ3 2002</stp>
        <stp>[FA1_ivyerigx.xlsx]Income - Adjusted!R27C19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7" s="2"/>
      </tp>
      <tp>
        <v>1.72</v>
        <stp/>
        <stp>##V3_BDHV12</stp>
        <stp>XOM US Equity</stp>
        <stp>IS_EARN_BEF_XO_ITEMS_PER_SH</stp>
        <stp>FQ3 2007</stp>
        <stp>FQ3 2007</stp>
        <stp>[FA1_ivyerigx.xlsx]Per Share!R15C39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M15" s="5"/>
      </tp>
      <tp>
        <v>36.031300000000002</v>
        <stp/>
        <stp>##V3_BDHV12</stp>
        <stp>XOM US Equity</stp>
        <stp>PX_OPEN</stp>
        <stp>FQ3 1998</stp>
        <stp>FQ3 1998</stp>
        <stp>[FA1_ivyerigx.xlsx]Stock Value!R8C3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8" s="6"/>
      </tp>
      <tp>
        <v>0.3236</v>
        <stp/>
        <stp>##V3_BDHV12</stp>
        <stp>XOM US Equity</stp>
        <stp>FREE_CASH_FLOW_PER_SH</stp>
        <stp>FQ1 2002</stp>
        <stp>FQ1 2002</stp>
        <stp>[FA1_ivyerigx.xlsx]Cash Flow - Standardized!R49C17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9" s="4"/>
      </tp>
      <tp>
        <v>0.87980000000000003</v>
        <stp/>
        <stp>##V3_BDHV12</stp>
        <stp>XOM US Equity</stp>
        <stp>FREE_CASH_FLOW_PER_SH</stp>
        <stp>FQ4 2006</stp>
        <stp>FQ4 2006</stp>
        <stp>[FA1_ivyerigx.xlsx]Cash Flow - Standardized!R49C36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49" s="4"/>
      </tp>
      <tp>
        <v>1.7965</v>
        <stp/>
        <stp>##V3_BDHV12</stp>
        <stp>XOM US Equity</stp>
        <stp>FREE_CASH_FLOW_PER_SH</stp>
        <stp>FQ1 2006</stp>
        <stp>FQ1 2006</stp>
        <stp>[FA1_ivyerigx.xlsx]Cash Flow - Standardized!R49C33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9" s="4"/>
      </tp>
      <tp t="s">
        <v>—</v>
        <stp/>
        <stp>##V3_BDHV12</stp>
        <stp>XOM US Equity</stp>
        <stp>NUM_OF_EMPLOYEES</stp>
        <stp>FQ1 1999</stp>
        <stp>FQ1 1999</stp>
        <stp>[FA1_ivyerigx.xlsx]Bal Sheet - Standardized!R65C5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65" s="3"/>
      </tp>
      <tp t="s">
        <v>—</v>
        <stp/>
        <stp>##V3_BDHV12</stp>
        <stp>XOM US Equity</stp>
        <stp>NUM_OF_EMPLOYEES</stp>
        <stp>FQ3 1999</stp>
        <stp>FQ3 1999</stp>
        <stp>[FA1_ivyerigx.xlsx]Bal Sheet - Standardized!R65C7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65" s="3"/>
      </tp>
      <tp t="s">
        <v>—</v>
        <stp/>
        <stp>##V3_BDHV12</stp>
        <stp>XOM US Equity</stp>
        <stp>NUM_OF_EMPLOYEES</stp>
        <stp>FQ2 1999</stp>
        <stp>FQ2 1999</stp>
        <stp>[FA1_ivyerigx.xlsx]Bal Sheet - Standardized!R65C6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65" s="3"/>
      </tp>
      <tp>
        <v>1.72</v>
        <stp/>
        <stp>##V3_BDHV12</stp>
        <stp>XOM US Equity</stp>
        <stp>IS_DIL_EPS_CONT_OPS</stp>
        <stp>FQ2 2006</stp>
        <stp>FQ2 2006</stp>
        <stp>[FA1_ivyerigx.xlsx]Income - Adjusted!R41C34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1" s="2"/>
      </tp>
      <tp>
        <v>0.88</v>
        <stp/>
        <stp>##V3_BDHV12</stp>
        <stp>XOM US Equity</stp>
        <stp>IS_DIL_EPS_CONT_OPS</stp>
        <stp>FQ2 2004</stp>
        <stp>FQ2 2004</stp>
        <stp>[FA1_ivyerigx.xlsx]Income - Adjusted!R41C26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1" s="2"/>
      </tp>
      <tp>
        <v>0.71299999999999997</v>
        <stp/>
        <stp>##V3_BDHV12</stp>
        <stp>XOM US Equity</stp>
        <stp>IS_DIL_EPS_CONT_OPS</stp>
        <stp>FQ1 2003</stp>
        <stp>FQ1 2003</stp>
        <stp>[FA1_ivyerigx.xlsx]Income - Adjusted!R41C21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1" s="2"/>
      </tp>
      <tp>
        <v>0.71</v>
        <stp/>
        <stp>##V3_BDHV12</stp>
        <stp>XOM US Equity</stp>
        <stp>IS_DIL_EPS_CONT_OPS</stp>
        <stp>FQ1 2001</stp>
        <stp>FQ1 2001</stp>
        <stp>[FA1_ivyerigx.xlsx]Income - Adjusted!R41C13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1" s="2"/>
      </tp>
      <tp>
        <v>0.56000000000000005</v>
        <stp/>
        <stp>##V3_BDHV12</stp>
        <stp>XOM US Equity</stp>
        <stp>IS_DIL_EPS_CONT_OPS</stp>
        <stp>FQ4 2002</stp>
        <stp>FQ4 2002</stp>
        <stp>[FA1_ivyerigx.xlsx]Income - Adjusted!R41C20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41" s="2"/>
      </tp>
      <tp>
        <v>0.745</v>
        <stp/>
        <stp>##V3_BDHV12</stp>
        <stp>XOM US Equity</stp>
        <stp>IS_DIL_EPS_CONT_OPS</stp>
        <stp>FQ4 2000</stp>
        <stp>FQ4 2000</stp>
        <stp>[FA1_ivyerigx.xlsx]Income - Adjusted!R41C12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41" s="2"/>
      </tp>
      <tp>
        <v>6417</v>
        <stp/>
        <stp>##V3_BDHV12</stp>
        <stp>XOM US Equity</stp>
        <stp>OTHER_CURRENT_LIABS_DETAILED</stp>
        <stp>FQ2 2001</stp>
        <stp>FQ2 2001</stp>
        <stp>[FA1_ivyerigx.xlsx]Bal Sheet - Standardized!R34C14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34" s="3"/>
      </tp>
      <tp>
        <v>5162.2316000000001</v>
        <stp/>
        <stp>##V3_BDHV12</stp>
        <stp>XOM US Equity</stp>
        <stp>CF_FREE_CASH_FLOW_FIRM</stp>
        <stp>FQ4 2006</stp>
        <stp>FQ4 2006</stp>
        <stp>[FA1_ivyerigx.xlsx]Cash Flow - Standardized!R47C36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47" s="4"/>
      </tp>
      <tp>
        <v>10991.5332</v>
        <stp/>
        <stp>##V3_BDHV12</stp>
        <stp>XOM US Equity</stp>
        <stp>CF_FREE_CASH_FLOW_FIRM</stp>
        <stp>FQ1 2006</stp>
        <stp>FQ1 2006</stp>
        <stp>[FA1_ivyerigx.xlsx]Cash Flow - Standardized!R47C33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47" s="4"/>
      </tp>
      <tp>
        <v>4758</v>
        <stp/>
        <stp>##V3_BDHV12</stp>
        <stp>XOM US Equity</stp>
        <stp>OTHER_CURRENT_LIABS_DETAILED</stp>
        <stp>FQ2 2000</stp>
        <stp>FQ2 2000</stp>
        <stp>[FA1_ivyerigx.xlsx]Bal Sheet - Standardized!R34C10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34" s="3"/>
      </tp>
      <tp>
        <v>5888</v>
        <stp/>
        <stp>##V3_BDHV12</stp>
        <stp>XOM US Equity</stp>
        <stp>OTHER_CURRENT_LIABS_DETAILED</stp>
        <stp>FQ1 2003</stp>
        <stp>FQ1 2003</stp>
        <stp>[FA1_ivyerigx.xlsx]Bal Sheet - Standardized!R34C21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34" s="3"/>
      </tp>
      <tp>
        <v>6765</v>
        <stp/>
        <stp>##V3_BDHV12</stp>
        <stp>XOM US Equity</stp>
        <stp>OTHER_CURRENT_LIABS_DETAILED</stp>
        <stp>FQ1 2004</stp>
        <stp>FQ1 2004</stp>
        <stp>[FA1_ivyerigx.xlsx]Bal Sheet - Standardized!R34C25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34" s="3"/>
      </tp>
      <tp>
        <v>2252.8534</v>
        <stp/>
        <stp>##V3_BDHV12</stp>
        <stp>XOM US Equity</stp>
        <stp>CF_FREE_CASH_FLOW_FIRM</stp>
        <stp>FQ1 2002</stp>
        <stp>FQ1 2002</stp>
        <stp>[FA1_ivyerigx.xlsx]Cash Flow - Standardized!R47C17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47" s="4"/>
      </tp>
      <tp>
        <v>0</v>
        <stp/>
        <stp>##V3_BDHV12</stp>
        <stp>XOM US Equity</stp>
        <stp>BS_OPTIONS_GRANTED</stp>
        <stp>FQ2 2006</stp>
        <stp>FQ2 2006</stp>
        <stp>[FA1_ivyerigx.xlsx]Bal Sheet - Standardized!R58C34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58" s="3"/>
      </tp>
      <tp>
        <v>0</v>
        <stp/>
        <stp>##V3_BDHV12</stp>
        <stp>XOM US Equity</stp>
        <stp>BS_OPTIONS_GRANTED</stp>
        <stp>FQ3 2006</stp>
        <stp>FQ3 2006</stp>
        <stp>[FA1_ivyerigx.xlsx]Bal Sheet - Standardized!R58C35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58" s="3"/>
      </tp>
      <tp>
        <v>2.13</v>
        <stp/>
        <stp>##V3_BDHV12</stp>
        <stp>XOM US Equity</stp>
        <stp>IS_DIL_EPS_BEF_XO</stp>
        <stp>FQ4 2007</stp>
        <stp>FQ4 2007</stp>
        <stp>[FA1_ivyerigx.xlsx]Per Share!R18C40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18" s="5"/>
      </tp>
      <tp>
        <v>1.01</v>
        <stp/>
        <stp>##V3_BDHV12</stp>
        <stp>XOM US Equity</stp>
        <stp>IS_DIL_EPS_BEF_XO</stp>
        <stp>FQ4 2003</stp>
        <stp>FQ4 2003</stp>
        <stp>[FA1_ivyerigx.xlsx]Per Share!R18C24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18" s="5"/>
      </tp>
      <tp>
        <v>0.39</v>
        <stp/>
        <stp>##V3_BDHV12</stp>
        <stp>XOM US Equity</stp>
        <stp>IS_DIL_EPS_BEF_XO</stp>
        <stp>FQ4 2001</stp>
        <stp>FQ4 2001</stp>
        <stp>[FA1_ivyerigx.xlsx]Per Share!R18C16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18" s="5"/>
      </tp>
      <tp>
        <v>1.71</v>
        <stp/>
        <stp>##V3_BDHV12</stp>
        <stp>XOM US Equity</stp>
        <stp>IS_DIL_EPS_BEF_XO</stp>
        <stp>FQ4 2005</stp>
        <stp>FQ4 2005</stp>
        <stp>[FA1_ivyerigx.xlsx]Per Share!R18C32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18" s="5"/>
      </tp>
      <tp>
        <v>8959</v>
        <stp/>
        <stp>##V3_BDHV12</stp>
        <stp>XOM US Equity</stp>
        <stp>OTHER_CURRENT_LIABS_DETAILED</stp>
        <stp>FQ1 2005</stp>
        <stp>FQ1 2005</stp>
        <stp>[FA1_ivyerigx.xlsx]Bal Sheet - Standardized!R34C29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34" s="3"/>
      </tp>
      <tp>
        <v>0</v>
        <stp/>
        <stp>##V3_BDHV12</stp>
        <stp>XOM US Equity</stp>
        <stp>BS_OPTIONS_GRANTED</stp>
        <stp>FQ3 2004</stp>
        <stp>FQ3 2004</stp>
        <stp>[FA1_ivyerigx.xlsx]Bal Sheet - Standardized!R58C27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58" s="3"/>
      </tp>
      <tp>
        <v>0</v>
        <stp/>
        <stp>##V3_BDHV12</stp>
        <stp>XOM US Equity</stp>
        <stp>BS_OPTIONS_GRANTED</stp>
        <stp>FQ2 2004</stp>
        <stp>FQ2 2004</stp>
        <stp>[FA1_ivyerigx.xlsx]Bal Sheet - Standardized!R58C26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58" s="3"/>
      </tp>
      <tp>
        <v>0</v>
        <stp/>
        <stp>##V3_BDHV12</stp>
        <stp>XOM US Equity</stp>
        <stp>BS_OPTIONS_GRANTED</stp>
        <stp>FQ1 2004</stp>
        <stp>FQ1 2004</stp>
        <stp>[FA1_ivyerigx.xlsx]Bal Sheet - Standardized!R58C25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58" s="3"/>
      </tp>
      <tp>
        <v>3400</v>
        <stp/>
        <stp>##V3_BDHV12</stp>
        <stp>XOM US Equity</stp>
        <stp>OTHER_CURRENT_LIABS_DETAILED</stp>
        <stp>FQ2 2002</stp>
        <stp>FQ2 2002</stp>
        <stp>[FA1_ivyerigx.xlsx]Bal Sheet - Standardized!R34C18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34" s="3"/>
      </tp>
      <tp t="s">
        <v>—</v>
        <stp/>
        <stp>##V3_BDHV12</stp>
        <stp>XOM US Equity</stp>
        <stp>CF_DEF_INC_TAX</stp>
        <stp>FQ4 1999</stp>
        <stp>FQ4 1999</stp>
        <stp>[FA1_ivyerigx.xlsx]Cash Flow - Standardized!R10C8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0" s="4"/>
      </tp>
      <tp t="s">
        <v>—</v>
        <stp/>
        <stp>##V3_BDHV12</stp>
        <stp>XOM US Equity</stp>
        <stp>CF_DEF_INC_TAX</stp>
        <stp>FQ4 1998</stp>
        <stp>FQ4 1998</stp>
        <stp>[FA1_ivyerigx.xlsx]Cash Flow - Standardized!R10C4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0" s="4"/>
      </tp>
      <tp t="s">
        <v>—</v>
        <stp/>
        <stp>##V3_BDHV12</stp>
        <stp>XOM US Equity</stp>
        <stp>CF_DEF_INC_TAX</stp>
        <stp>FQ3 1998</stp>
        <stp>FQ3 1998</stp>
        <stp>[FA1_ivyerigx.xlsx]Cash Flow - Standardized!R10C3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0" s="4"/>
      </tp>
      <tp t="s">
        <v>—</v>
        <stp/>
        <stp>##V3_BDHV12</stp>
        <stp>XOM US Equity</stp>
        <stp>CF_DEF_INC_TAX</stp>
        <stp>FQ1 1999</stp>
        <stp>FQ1 1999</stp>
        <stp>[FA1_ivyerigx.xlsx]Cash Flow - Standardized!R10C5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0" s="4"/>
      </tp>
      <tp t="s">
        <v>—</v>
        <stp/>
        <stp>##V3_BDHV12</stp>
        <stp>XOM US Equity</stp>
        <stp>CF_DEF_INC_TAX</stp>
        <stp>FQ2 1999</stp>
        <stp>FQ2 1999</stp>
        <stp>[FA1_ivyerigx.xlsx]Cash Flow - Standardized!R10C6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0" s="4"/>
      </tp>
      <tp t="s">
        <v>—</v>
        <stp/>
        <stp>##V3_BDHV12</stp>
        <stp>XOM US Equity</stp>
        <stp>CF_DEF_INC_TAX</stp>
        <stp>FQ3 1999</stp>
        <stp>FQ3 1999</stp>
        <stp>[FA1_ivyerigx.xlsx]Cash Flow - Standardized!R10C7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0" s="4"/>
      </tp>
      <tp>
        <v>18.129100000000001</v>
        <stp/>
        <stp>##V3_BDHV12</stp>
        <stp>XOM US Equity</stp>
        <stp>TANG_BOOK_VAL_PER_SH</stp>
        <stp>FQ4 2005</stp>
        <stp>FQ4 2005</stp>
        <stp>[FA1_ivyerigx.xlsx]Per Share!R27C32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27" s="5"/>
      </tp>
      <tp>
        <v>22.623899999999999</v>
        <stp/>
        <stp>##V3_BDHV12</stp>
        <stp>XOM US Equity</stp>
        <stp>TANG_BOOK_VAL_PER_SH</stp>
        <stp>FQ4 2007</stp>
        <stp>FQ4 2007</stp>
        <stp>[FA1_ivyerigx.xlsx]Per Share!R27C40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27" s="5"/>
      </tp>
      <tp>
        <v>13.6899</v>
        <stp/>
        <stp>##V3_BDHV12</stp>
        <stp>XOM US Equity</stp>
        <stp>TANG_BOOK_VAL_PER_SH</stp>
        <stp>FQ4 2003</stp>
        <stp>FQ4 2003</stp>
        <stp>[FA1_ivyerigx.xlsx]Per Share!R27C24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27" s="5"/>
      </tp>
      <tp>
        <v>10.7447</v>
        <stp/>
        <stp>##V3_BDHV12</stp>
        <stp>XOM US Equity</stp>
        <stp>TANG_BOOK_VAL_PER_SH</stp>
        <stp>FQ4 2001</stp>
        <stp>FQ4 2001</stp>
        <stp>[FA1_ivyerigx.xlsx]Per Share!R27C16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27" s="5"/>
      </tp>
      <tp>
        <v>20.9908</v>
        <stp/>
        <stp>##V3_BDHV12</stp>
        <stp>XOM US Equity</stp>
        <stp>PX_TO_FREE_CASH_FLOW</stp>
        <stp>FQ4 2001</stp>
        <stp>FQ4 2001</stp>
        <stp>[FA1_ivyerigx.xlsx]Cash Flow - Standardized!R50C16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50" s="4"/>
      </tp>
      <tp>
        <v>16.0823</v>
        <stp/>
        <stp>##V3_BDHV12</stp>
        <stp>XOM US Equity</stp>
        <stp>PX_TO_FREE_CASH_FLOW</stp>
        <stp>FQ1 2001</stp>
        <stp>FQ1 2001</stp>
        <stp>[FA1_ivyerigx.xlsx]Cash Flow - Standardized!R50C13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50" s="4"/>
      </tp>
      <tp>
        <v>17.415900000000001</v>
        <stp/>
        <stp>##V3_BDHV12</stp>
        <stp>XOM US Equity</stp>
        <stp>PX_TO_FREE_CASH_FLOW</stp>
        <stp>FQ4 2003</stp>
        <stp>FQ4 2003</stp>
        <stp>[FA1_ivyerigx.xlsx]Cash Flow - Standardized!R50C24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50" s="4"/>
      </tp>
      <tp>
        <v>17.5898</v>
        <stp/>
        <stp>##V3_BDHV12</stp>
        <stp>XOM US Equity</stp>
        <stp>PX_TO_FREE_CASH_FLOW</stp>
        <stp>FQ1 2003</stp>
        <stp>FQ1 2003</stp>
        <stp>[FA1_ivyerigx.xlsx]Cash Flow - Standardized!R50C21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50" s="4"/>
      </tp>
      <tp>
        <v>14.9168</v>
        <stp/>
        <stp>##V3_BDHV12</stp>
        <stp>XOM US Equity</stp>
        <stp>PX_TO_FREE_CASH_FLOW</stp>
        <stp>FQ2 2003</stp>
        <stp>FQ2 2003</stp>
        <stp>[FA1_ivyerigx.xlsx]Cash Flow - Standardized!R50C22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50" s="4"/>
      </tp>
      <tp>
        <v>17.2029</v>
        <stp/>
        <stp>##V3_BDHV12</stp>
        <stp>XOM US Equity</stp>
        <stp>PX_TO_FREE_CASH_FLOW</stp>
        <stp>FQ3 2003</stp>
        <stp>FQ3 2003</stp>
        <stp>[FA1_ivyerigx.xlsx]Cash Flow - Standardized!R50C23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50" s="4"/>
      </tp>
      <tp>
        <v>10.293200000000001</v>
        <stp/>
        <stp>##V3_BDHV12</stp>
        <stp>XOM US Equity</stp>
        <stp>PX_TO_FREE_CASH_FLOW</stp>
        <stp>FQ4 2005</stp>
        <stp>FQ4 2005</stp>
        <stp>[FA1_ivyerigx.xlsx]Cash Flow - Standardized!R50C32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50" s="4"/>
      </tp>
      <tp>
        <v>14.1561</v>
        <stp/>
        <stp>##V3_BDHV12</stp>
        <stp>XOM US Equity</stp>
        <stp>PX_TO_FREE_CASH_FLOW</stp>
        <stp>FQ4 2007</stp>
        <stp>FQ4 2007</stp>
        <stp>[FA1_ivyerigx.xlsx]Cash Flow - Standardized!R50C40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50" s="4"/>
      </tp>
      <tp>
        <v>10448</v>
        <stp/>
        <stp>##V3_BDHV12</stp>
        <stp>XOM US Equity</stp>
        <stp>NI_INCLUDING_MINORITY_INT_RATIO</stp>
        <stp>FQ2 2007</stp>
        <stp>FQ2 2007</stp>
        <stp>[FA1_ivyerigx.xlsx]Income - Adjusted!R22C38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2" s="2"/>
      </tp>
      <tp t="s">
        <v>—</v>
        <stp/>
        <stp>##V3_BDHV12</stp>
        <stp>XOM US Equity</stp>
        <stp>IS_EXPORT_SALES</stp>
        <stp>FQ4 2007</stp>
        <stp>FQ4 2007</stp>
        <stp>[FA1_ivyerigx.xlsx]Income - Adjusted!R55C40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55" s="2"/>
      </tp>
      <tp t="s">
        <v>—</v>
        <stp/>
        <stp>##V3_BDHV12</stp>
        <stp>XOM US Equity</stp>
        <stp>IS_EXPORT_SALES</stp>
        <stp>FQ1 2004</stp>
        <stp>FQ1 2004</stp>
        <stp>[FA1_ivyerigx.xlsx]Income - Adjusted!R55C25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55" s="2"/>
      </tp>
      <tp t="s">
        <v>—</v>
        <stp/>
        <stp>##V3_BDHV12</stp>
        <stp>XOM US Equity</stp>
        <stp>IS_EXPORT_SALES</stp>
        <stp>FQ2 2006</stp>
        <stp>FQ2 2006</stp>
        <stp>[FA1_ivyerigx.xlsx]Income - Adjusted!R55C34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55" s="2"/>
      </tp>
      <tp t="s">
        <v>—</v>
        <stp/>
        <stp>##V3_BDHV12</stp>
        <stp>XOM US Equity</stp>
        <stp>IS_EXPORT_SALES</stp>
        <stp>FQ3 2007</stp>
        <stp>FQ3 2007</stp>
        <stp>[FA1_ivyerigx.xlsx]Income - Adjusted!R55C39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55" s="2"/>
      </tp>
      <tp>
        <v>324</v>
        <stp/>
        <stp>##V3_BDHV12</stp>
        <stp>XOM US Equity</stp>
        <stp>MIN_NONCONTROL_INTEREST_CREDITS</stp>
        <stp>FQ4 2006</stp>
        <stp>FQ4 2006</stp>
        <stp>[FA1_ivyerigx.xlsx]Income - Adjusted!R23C36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J23" s="2"/>
      </tp>
      <tp>
        <v>110</v>
        <stp/>
        <stp>##V3_BDHV12</stp>
        <stp>XOM US Equity</stp>
        <stp>MIN_NONCONTROL_INTEREST_CREDITS</stp>
        <stp>FQ2 2000</stp>
        <stp>FQ2 2000</stp>
        <stp>[FA1_ivyerigx.xlsx]Income - Adjusted!R23C10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23" s="2"/>
      </tp>
      <tp>
        <v>101</v>
        <stp/>
        <stp>##V3_BDHV12</stp>
        <stp>XOM US Equity</stp>
        <stp>MIN_NONCONTROL_INTEREST_CREDITS</stp>
        <stp>FQ3 2003</stp>
        <stp>FQ3 2003</stp>
        <stp>[FA1_ivyerigx.xlsx]Income - Adjusted!R23C23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23" s="2"/>
      </tp>
      <tp>
        <v>250</v>
        <stp/>
        <stp>##V3_BDHV12</stp>
        <stp>XOM US Equity</stp>
        <stp>MIN_NONCONTROL_INTEREST_CREDITS</stp>
        <stp>FQ1 2007</stp>
        <stp>FQ1 2007</stp>
        <stp>[FA1_ivyerigx.xlsx]Income - Adjusted!R23C37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23" s="2"/>
      </tp>
      <tp>
        <v>21420</v>
        <stp/>
        <stp>##V3_BDHV12</stp>
        <stp>XOM US Equity</stp>
        <stp>CF_CASH_FROM_OPER</stp>
        <stp>FQ1 2008</stp>
        <stp>FQ1 2008</stp>
        <stp>[FA1_ivyerigx.xlsx]Cash Flow - Standardized!R15C41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15" s="4"/>
      </tp>
      <tp>
        <v>2640</v>
        <stp/>
        <stp>##V3_BDHV12</stp>
        <stp>XOM US Equity</stp>
        <stp>EARN_FOR_COMMON</stp>
        <stp>FQ2 2002</stp>
        <stp>FQ2 2002</stp>
        <stp>[FA1_ivyerigx.xlsx]Income - Adjusted!R27C18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7" s="2"/>
      </tp>
      <tp>
        <v>11680</v>
        <stp/>
        <stp>##V3_BDHV12</stp>
        <stp>XOM US Equity</stp>
        <stp>EARN_FOR_COMMON</stp>
        <stp>FQ2 2008</stp>
        <stp>FQ2 2008</stp>
        <stp>[FA1_ivyerigx.xlsx]Income - Adjusted!R27C42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7" s="2"/>
      </tp>
      <tp>
        <v>6075</v>
        <stp/>
        <stp>##V3_BDHV12</stp>
        <stp>XOM US Equity</stp>
        <stp>CF_CASH_FROM_OPER</stp>
        <stp>FQ4 2000</stp>
        <stp>FQ4 2000</stp>
        <stp>[FA1_ivyerigx.xlsx]Cash Flow - Standardized!R15C12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15" s="4"/>
      </tp>
      <tp>
        <v>3390</v>
        <stp/>
        <stp>##V3_BDHV12</stp>
        <stp>XOM US Equity</stp>
        <stp>CF_CASH_FROM_OPER</stp>
        <stp>FQ4 2001</stp>
        <stp>FQ4 2001</stp>
        <stp>[FA1_ivyerigx.xlsx]Cash Flow - Standardized!R15C16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15" s="4"/>
      </tp>
      <tp>
        <v>1.85</v>
        <stp/>
        <stp>##V3_BDHV12</stp>
        <stp>XOM US Equity</stp>
        <stp>IS_EARN_BEF_XO_ITEMS_PER_SH</stp>
        <stp>FQ2 2007</stp>
        <stp>FQ2 2007</stp>
        <stp>[FA1_ivyerigx.xlsx]Per Share!R15C38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L15" s="5"/>
      </tp>
      <tp>
        <v>39.75</v>
        <stp/>
        <stp>##V3_BDHV12</stp>
        <stp>XOM US Equity</stp>
        <stp>PX_OPEN</stp>
        <stp>FQ1 2000</stp>
        <stp>FQ1 2000</stp>
        <stp>[FA1_ivyerigx.xlsx]Stock Value!R8C9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8" s="6"/>
      </tp>
      <tp>
        <v>305.5</v>
        <stp/>
        <stp>##V3_BDHV12</stp>
        <stp>XOM US Equity</stp>
        <stp>IS_NET_ABNORMAL_ITEMS</stp>
        <stp>FQ4 1999</stp>
        <stp>FQ4 1999</stp>
        <stp>[FA1_ivyerigx.xlsx]Income - Adjusted!R30C8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30" s="2"/>
      </tp>
      <tp>
        <v>9.0212000000000003</v>
        <stp/>
        <stp>##V3_BDHV12</stp>
        <stp>XOM US Equity</stp>
        <stp>BOOK_VAL_PER_SH</stp>
        <stp>FQ3 1999</stp>
        <stp>FQ3 1999</stp>
        <stp>[FA1_ivyerigx.xlsx]Per Share!R26C7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26" s="5"/>
      </tp>
      <tp>
        <v>8.8107000000000006</v>
        <stp/>
        <stp>##V3_BDHV12</stp>
        <stp>XOM US Equity</stp>
        <stp>BOOK_VAL_PER_SH</stp>
        <stp>FQ2 1999</stp>
        <stp>FQ2 1999</stp>
        <stp>[FA1_ivyerigx.xlsx]Per Share!R26C6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26" s="5"/>
      </tp>
      <tp>
        <v>8.8375000000000004</v>
        <stp/>
        <stp>##V3_BDHV12</stp>
        <stp>XOM US Equity</stp>
        <stp>BOOK_VAL_PER_SH</stp>
        <stp>FQ1 1999</stp>
        <stp>FQ1 1999</stp>
        <stp>[FA1_ivyerigx.xlsx]Per Share!R26C5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26" s="5"/>
      </tp>
      <tp t="s">
        <v>—</v>
        <stp/>
        <stp>##V3_BDHV12</stp>
        <stp>XOM US Equity</stp>
        <stp>IS_NET_ABNORMAL_ITEMS</stp>
        <stp>FQ4 1998</stp>
        <stp>FQ4 1998</stp>
        <stp>[FA1_ivyerigx.xlsx]Income - Adjusted!R30C4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30" s="2"/>
      </tp>
      <tp>
        <v>1.77</v>
        <stp/>
        <stp>##V3_BDHV12</stp>
        <stp>XOM US Equity</stp>
        <stp>IS_DIL_EPS_CONT_OPS</stp>
        <stp>FQ3 2006</stp>
        <stp>FQ3 2006</stp>
        <stp>[FA1_ivyerigx.xlsx]Income - Adjusted!R41C35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1" s="2"/>
      </tp>
      <tp>
        <v>0.96</v>
        <stp/>
        <stp>##V3_BDHV12</stp>
        <stp>XOM US Equity</stp>
        <stp>IS_DIL_EPS_CONT_OPS</stp>
        <stp>FQ3 2004</stp>
        <stp>FQ3 2004</stp>
        <stp>[FA1_ivyerigx.xlsx]Income - Adjusted!R41C27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1" s="2"/>
      </tp>
      <tp>
        <v>3090</v>
        <stp/>
        <stp>##V3_BDHV12</stp>
        <stp>XOM US Equity</stp>
        <stp>CF_DEPR_AMORT</stp>
        <stp>FQ2 2008</stp>
        <stp>FQ2 2008</stp>
        <stp>[FA1_ivyerigx.xlsx]Cash Flow - Standardized!R8C42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8" s="4"/>
      </tp>
      <tp>
        <v>3104</v>
        <stp/>
        <stp>##V3_BDHV12</stp>
        <stp>XOM US Equity</stp>
        <stp>CF_DEPR_AMORT</stp>
        <stp>FQ1 2008</stp>
        <stp>FQ1 2008</stp>
        <stp>[FA1_ivyerigx.xlsx]Cash Flow - Standardized!R8C41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8" s="4"/>
      </tp>
      <tp>
        <v>6040</v>
        <stp/>
        <stp>##V3_BDHV12</stp>
        <stp>XOM US Equity</stp>
        <stp>OTHER_CURRENT_LIABS_DETAILED</stp>
        <stp>FQ3 2001</stp>
        <stp>FQ3 2001</stp>
        <stp>[FA1_ivyerigx.xlsx]Bal Sheet - Standardized!R34C15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34" s="3"/>
      </tp>
      <tp>
        <v>10676</v>
        <stp/>
        <stp>##V3_BDHV12</stp>
        <stp>XOM US Equity</stp>
        <stp>OTHER_CURRENT_LIABS_DETAILED</stp>
        <stp>FQ1 2006</stp>
        <stp>FQ1 2006</stp>
        <stp>[FA1_ivyerigx.xlsx]Bal Sheet - Standardized!R34C33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34" s="3"/>
      </tp>
      <tp>
        <v>5416</v>
        <stp/>
        <stp>##V3_BDHV12</stp>
        <stp>XOM US Equity</stp>
        <stp>OTHER_CURRENT_LIABS_DETAILED</stp>
        <stp>FQ3 2000</stp>
        <stp>FQ3 2000</stp>
        <stp>[FA1_ivyerigx.xlsx]Bal Sheet - Standardized!R34C11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34" s="3"/>
      </tp>
      <tp>
        <v>3155</v>
        <stp/>
        <stp>##V3_BDHV12</stp>
        <stp>XOM US Equity</stp>
        <stp>CF_DEPR_AMORT</stp>
        <stp>FQ4 2007</stp>
        <stp>FQ4 2007</stp>
        <stp>[FA1_ivyerigx.xlsx]Cash Flow - Standardized!R8C40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8" s="4"/>
      </tp>
      <tp>
        <v>9661</v>
        <stp/>
        <stp>##V3_BDHV12</stp>
        <stp>XOM US Equity</stp>
        <stp>OTHER_CURRENT_LIABS_DETAILED</stp>
        <stp>FQ1 2007</stp>
        <stp>FQ1 2007</stp>
        <stp>[FA1_ivyerigx.xlsx]Bal Sheet - Standardized!R34C37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34" s="3"/>
      </tp>
      <tp>
        <v>0</v>
        <stp/>
        <stp>##V3_BDHV12</stp>
        <stp>XOM US Equity</stp>
        <stp>BS_OPTIONS_GRANTED</stp>
        <stp>FQ1 2007</stp>
        <stp>FQ1 2007</stp>
        <stp>[FA1_ivyerigx.xlsx]Bal Sheet - Standardized!R58C37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58" s="3"/>
      </tp>
      <tp>
        <v>4892</v>
        <stp/>
        <stp>##V3_BDHV12</stp>
        <stp>XOM US Equity</stp>
        <stp>OTHER_CURRENT_LIABS_DETAILED</stp>
        <stp>FQ3 2002</stp>
        <stp>FQ3 2002</stp>
        <stp>[FA1_ivyerigx.xlsx]Bal Sheet - Standardized!R34C19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34" s="3"/>
      </tp>
      <tp>
        <v>0.435</v>
        <stp/>
        <stp>##V3_BDHV12</stp>
        <stp>XOM US Equity</stp>
        <stp>IS_EARN_BEF_XO_ITEMS_PER_SH</stp>
        <stp>FQ1 2000</stp>
        <stp>FQ1 2000</stp>
        <stp>[FA1_ivyerigx.xlsx]Income - Adjusted!R35C9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I35" s="2"/>
      </tp>
      <tp>
        <v>23.6252</v>
        <stp/>
        <stp>##V3_BDHV12</stp>
        <stp>XOM US Equity</stp>
        <stp>PX_TO_FREE_CASH_FLOW</stp>
        <stp>FQ3 2000</stp>
        <stp>FQ3 2000</stp>
        <stp>[FA1_ivyerigx.xlsx]Cash Flow - Standardized!R50C11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50" s="4"/>
      </tp>
      <tp>
        <v>23.706299999999999</v>
        <stp/>
        <stp>##V3_BDHV12</stp>
        <stp>XOM US Equity</stp>
        <stp>PX_TO_FREE_CASH_FLOW</stp>
        <stp>FQ2 2000</stp>
        <stp>FQ2 2000</stp>
        <stp>[FA1_ivyerigx.xlsx]Cash Flow - Standardized!R50C10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50" s="4"/>
      </tp>
      <tp>
        <v>17.101600000000001</v>
        <stp/>
        <stp>##V3_BDHV12</stp>
        <stp>XOM US Equity</stp>
        <stp>OPER_MARGIN</stp>
        <stp>FQ2 2007</stp>
        <stp>FQ2 2007</stp>
        <stp>[FA1_ivyerigx.xlsx]Income - Adjusted!R50C38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L50" s="2"/>
      </tp>
      <tp>
        <v>17.712599999999998</v>
        <stp/>
        <stp>##V3_BDHV12</stp>
        <stp>XOM US Equity</stp>
        <stp>OPER_MARGIN</stp>
        <stp>FQ2 2006</stp>
        <stp>FQ2 2006</stp>
        <stp>[FA1_ivyerigx.xlsx]Income - Adjusted!R50C34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H50" s="2"/>
      </tp>
      <tp>
        <v>13.0753</v>
        <stp/>
        <stp>##V3_BDHV12</stp>
        <stp>XOM US Equity</stp>
        <stp>OPER_MARGIN</stp>
        <stp>FQ2 2004</stp>
        <stp>FQ2 2004</stp>
        <stp>[FA1_ivyerigx.xlsx]Income - Adjusted!R50C26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Z50" s="2"/>
      </tp>
      <tp>
        <v>14.2288</v>
        <stp/>
        <stp>##V3_BDHV12</stp>
        <stp>XOM US Equity</stp>
        <stp>OPER_MARGIN</stp>
        <stp>FQ2 2005</stp>
        <stp>FQ2 2005</stp>
        <stp>[FA1_ivyerigx.xlsx]Income - Adjusted!R50C30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D50" s="2"/>
      </tp>
      <tp>
        <v>12.2486</v>
        <stp/>
        <stp>##V3_BDHV12</stp>
        <stp>XOM US Equity</stp>
        <stp>OPER_MARGIN</stp>
        <stp>FQ2 2001</stp>
        <stp>FQ2 2001</stp>
        <stp>[FA1_ivyerigx.xlsx]Income - Adjusted!R50C14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N50" s="2"/>
      </tp>
      <tp>
        <v>12.377000000000001</v>
        <stp/>
        <stp>##V3_BDHV12</stp>
        <stp>XOM US Equity</stp>
        <stp>OPER_MARGIN</stp>
        <stp>FQ2 2000</stp>
        <stp>FQ2 2000</stp>
        <stp>[FA1_ivyerigx.xlsx]Income - Adjusted!R50C10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J50" s="2"/>
      </tp>
      <tp>
        <v>11.776199999999999</v>
        <stp/>
        <stp>##V3_BDHV12</stp>
        <stp>XOM US Equity</stp>
        <stp>OPER_MARGIN</stp>
        <stp>FQ2 2003</stp>
        <stp>FQ2 2003</stp>
        <stp>[FA1_ivyerigx.xlsx]Income - Adjusted!R50C22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V50" s="2"/>
      </tp>
      <tp>
        <v>8.0379000000000005</v>
        <stp/>
        <stp>##V3_BDHV12</stp>
        <stp>XOM US Equity</stp>
        <stp>OPER_MARGIN</stp>
        <stp>FQ2 2002</stp>
        <stp>FQ2 2002</stp>
        <stp>[FA1_ivyerigx.xlsx]Income - Adjusted!R50C18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R50" s="2"/>
      </tp>
      <tp>
        <v>14.6831</v>
        <stp/>
        <stp>##V3_BDHV12</stp>
        <stp>XOM US Equity</stp>
        <stp>OPER_MARGIN</stp>
        <stp>FQ2 2008</stp>
        <stp>FQ2 2008</stp>
        <stp>[FA1_ivyerigx.xlsx]Income - Adjusted!R50C42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P50" s="2"/>
      </tp>
      <tp>
        <v>17.4297</v>
        <stp/>
        <stp>##V3_BDHV12</stp>
        <stp>XOM US Equity</stp>
        <stp>OPER_MARGIN</stp>
        <stp>FQ3 2006</stp>
        <stp>FQ3 2006</stp>
        <stp>[FA1_ivyerigx.xlsx]Income - Adjusted!R50C35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I50" s="2"/>
      </tp>
      <tp>
        <v>15.258900000000001</v>
        <stp/>
        <stp>##V3_BDHV12</stp>
        <stp>XOM US Equity</stp>
        <stp>OPER_MARGIN</stp>
        <stp>FQ3 2007</stp>
        <stp>FQ3 2007</stp>
        <stp>[FA1_ivyerigx.xlsx]Income - Adjusted!R50C39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M50" s="2"/>
      </tp>
      <tp>
        <v>12.7874</v>
        <stp/>
        <stp>##V3_BDHV12</stp>
        <stp>XOM US Equity</stp>
        <stp>OPER_MARGIN</stp>
        <stp>FQ3 2004</stp>
        <stp>FQ3 2004</stp>
        <stp>[FA1_ivyerigx.xlsx]Income - Adjusted!R50C27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A50" s="2"/>
      </tp>
      <tp>
        <v>13.9018</v>
        <stp/>
        <stp>##V3_BDHV12</stp>
        <stp>XOM US Equity</stp>
        <stp>OPER_MARGIN</stp>
        <stp>FQ3 2005</stp>
        <stp>FQ3 2005</stp>
        <stp>[FA1_ivyerigx.xlsx]Income - Adjusted!R50C31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E50" s="2"/>
      </tp>
      <tp>
        <v>9.5024999999999995</v>
        <stp/>
        <stp>##V3_BDHV12</stp>
        <stp>XOM US Equity</stp>
        <stp>OPER_MARGIN</stp>
        <stp>FQ3 2003</stp>
        <stp>FQ3 2003</stp>
        <stp>[FA1_ivyerigx.xlsx]Income - Adjusted!R50C23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W50" s="2"/>
      </tp>
      <tp>
        <v>11.8422</v>
        <stp/>
        <stp>##V3_BDHV12</stp>
        <stp>XOM US Equity</stp>
        <stp>OPER_MARGIN</stp>
        <stp>FQ3 2000</stp>
        <stp>FQ3 2000</stp>
        <stp>[FA1_ivyerigx.xlsx]Income - Adjusted!R50C11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K50" s="2"/>
      </tp>
      <tp>
        <v>10.0511</v>
        <stp/>
        <stp>##V3_BDHV12</stp>
        <stp>XOM US Equity</stp>
        <stp>OPER_MARGIN</stp>
        <stp>FQ3 2001</stp>
        <stp>FQ3 2001</stp>
        <stp>[FA1_ivyerigx.xlsx]Income - Adjusted!R50C15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O50" s="2"/>
      </tp>
      <tp>
        <v>8.1060999999999996</v>
        <stp/>
        <stp>##V3_BDHV12</stp>
        <stp>XOM US Equity</stp>
        <stp>OPER_MARGIN</stp>
        <stp>FQ3 2002</stp>
        <stp>FQ3 2002</stp>
        <stp>[FA1_ivyerigx.xlsx]Income - Adjusted!R50C19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S50" s="2"/>
      </tp>
      <tp>
        <v>14.505000000000001</v>
        <stp/>
        <stp>##V3_BDHV12</stp>
        <stp>XOM US Equity</stp>
        <stp>OPER_MARGIN</stp>
        <stp>FQ1 2005</stp>
        <stp>FQ1 2005</stp>
        <stp>[FA1_ivyerigx.xlsx]Income - Adjusted!R50C29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C50" s="2"/>
      </tp>
      <tp>
        <v>12.779199999999999</v>
        <stp/>
        <stp>##V3_BDHV12</stp>
        <stp>XOM US Equity</stp>
        <stp>OPER_MARGIN</stp>
        <stp>FQ1 2004</stp>
        <stp>FQ1 2004</stp>
        <stp>[FA1_ivyerigx.xlsx]Income - Adjusted!R50C25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Y50" s="2"/>
      </tp>
      <tp>
        <v>16.710100000000001</v>
        <stp/>
        <stp>##V3_BDHV12</stp>
        <stp>XOM US Equity</stp>
        <stp>OPER_MARGIN</stp>
        <stp>FQ1 2006</stp>
        <stp>FQ1 2006</stp>
        <stp>[FA1_ivyerigx.xlsx]Income - Adjusted!R50C33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G50" s="2"/>
      </tp>
      <tp>
        <v>17.385899999999999</v>
        <stp/>
        <stp>##V3_BDHV12</stp>
        <stp>XOM US Equity</stp>
        <stp>OPER_MARGIN</stp>
        <stp>FQ1 2007</stp>
        <stp>FQ1 2007</stp>
        <stp>[FA1_ivyerigx.xlsx]Income - Adjusted!R50C37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K50" s="2"/>
      </tp>
      <tp>
        <v>7.2111999999999998</v>
        <stp/>
        <stp>##V3_BDHV12</stp>
        <stp>XOM US Equity</stp>
        <stp>OPER_MARGIN</stp>
        <stp>FQ1 2002</stp>
        <stp>FQ1 2002</stp>
        <stp>[FA1_ivyerigx.xlsx]Income - Adjusted!R50C17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Q50" s="2"/>
      </tp>
      <tp>
        <v>12.3278</v>
        <stp/>
        <stp>##V3_BDHV12</stp>
        <stp>XOM US Equity</stp>
        <stp>OPER_MARGIN</stp>
        <stp>FQ1 2003</stp>
        <stp>FQ1 2003</stp>
        <stp>[FA1_ivyerigx.xlsx]Income - Adjusted!R50C21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U50" s="2"/>
      </tp>
      <tp>
        <v>14.5839</v>
        <stp/>
        <stp>##V3_BDHV12</stp>
        <stp>XOM US Equity</stp>
        <stp>OPER_MARGIN</stp>
        <stp>FQ1 2001</stp>
        <stp>FQ1 2001</stp>
        <stp>[FA1_ivyerigx.xlsx]Income - Adjusted!R50C13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M50" s="2"/>
      </tp>
      <tp>
        <v>16.981400000000001</v>
        <stp/>
        <stp>##V3_BDHV12</stp>
        <stp>XOM US Equity</stp>
        <stp>OPER_MARGIN</stp>
        <stp>FQ1 2008</stp>
        <stp>FQ1 2008</stp>
        <stp>[FA1_ivyerigx.xlsx]Income - Adjusted!R50C41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O50" s="2"/>
      </tp>
      <tp>
        <v>14.9621</v>
        <stp/>
        <stp>##V3_BDHV12</stp>
        <stp>XOM US Equity</stp>
        <stp>OPER_MARGIN</stp>
        <stp>FQ4 2007</stp>
        <stp>FQ4 2007</stp>
        <stp>[FA1_ivyerigx.xlsx]Income - Adjusted!R50C40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N50" s="2"/>
      </tp>
      <tp>
        <v>8.6512999999999991</v>
        <stp/>
        <stp>##V3_BDHV12</stp>
        <stp>XOM US Equity</stp>
        <stp>OPER_MARGIN</stp>
        <stp>FQ4 2002</stp>
        <stp>FQ4 2002</stp>
        <stp>[FA1_ivyerigx.xlsx]Income - Adjusted!R50C20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T50" s="2"/>
      </tp>
      <tp>
        <v>6.5160999999999998</v>
        <stp/>
        <stp>##V3_BDHV12</stp>
        <stp>XOM US Equity</stp>
        <stp>OPER_MARGIN</stp>
        <stp>FQ4 2001</stp>
        <stp>FQ4 2001</stp>
        <stp>[FA1_ivyerigx.xlsx]Income - Adjusted!R50C16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P50" s="2"/>
      </tp>
      <tp>
        <v>13.4908</v>
        <stp/>
        <stp>##V3_BDHV12</stp>
        <stp>XOM US Equity</stp>
        <stp>OPER_MARGIN</stp>
        <stp>FQ4 2000</stp>
        <stp>FQ4 2000</stp>
        <stp>[FA1_ivyerigx.xlsx]Income - Adjusted!R50C12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L50" s="2"/>
      </tp>
      <tp>
        <v>9.9423999999999992</v>
        <stp/>
        <stp>##V3_BDHV12</stp>
        <stp>XOM US Equity</stp>
        <stp>OPER_MARGIN</stp>
        <stp>FQ4 2003</stp>
        <stp>FQ4 2003</stp>
        <stp>[FA1_ivyerigx.xlsx]Income - Adjusted!R50C24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X50" s="2"/>
      </tp>
      <tp>
        <v>16.937000000000001</v>
        <stp/>
        <stp>##V3_BDHV12</stp>
        <stp>XOM US Equity</stp>
        <stp>OPER_MARGIN</stp>
        <stp>FQ4 2005</stp>
        <stp>FQ4 2005</stp>
        <stp>[FA1_ivyerigx.xlsx]Income - Adjusted!R50C32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F50" s="2"/>
      </tp>
      <tp>
        <v>15.4138</v>
        <stp/>
        <stp>##V3_BDHV12</stp>
        <stp>XOM US Equity</stp>
        <stp>OPER_MARGIN</stp>
        <stp>FQ4 2004</stp>
        <stp>FQ4 2004</stp>
        <stp>[FA1_ivyerigx.xlsx]Income - Adjusted!R50C28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B50" s="2"/>
      </tp>
      <tp>
        <v>15.9968</v>
        <stp/>
        <stp>##V3_BDHV12</stp>
        <stp>XOM US Equity</stp>
        <stp>OPER_MARGIN</stp>
        <stp>FQ4 2006</stp>
        <stp>FQ4 2006</stp>
        <stp>[FA1_ivyerigx.xlsx]Income - Adjusted!R50C36</stp>
        <stp>Currency=USD</stp>
        <stp>Period=FQ</stp>
        <stp>BEST_FPERIOD_OVERRIDE=FQ</stp>
        <stp>FILING_STATUS=OR</stp>
        <stp>FA_ADJUSTED=Adjusted</stp>
        <stp>Sort=A</stp>
        <stp>Dates=H</stp>
        <stp>DateFormat=P</stp>
        <stp>Fill=—</stp>
        <stp>Direction=H</stp>
        <stp>UseDPDF=Y</stp>
        <tr r="AJ50" s="2"/>
      </tp>
      <tp t="s">
        <v>—</v>
        <stp/>
        <stp>##V3_BDHV12</stp>
        <stp>XOM US Equity</stp>
        <stp>IS_EXPORT_SALES</stp>
        <stp>FQ1 2003</stp>
        <stp>FQ1 2003</stp>
        <stp>[FA1_ivyerigx.xlsx]Income - Adjusted!R55C21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55" s="2"/>
      </tp>
      <tp t="s">
        <v>—</v>
        <stp/>
        <stp>##V3_BDHV12</stp>
        <stp>XOM US Equity</stp>
        <stp>IS_EXPORT_SALES</stp>
        <stp>FQ3 2002</stp>
        <stp>FQ3 2002</stp>
        <stp>[FA1_ivyerigx.xlsx]Income - Adjusted!R55C19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55" s="2"/>
      </tp>
      <tp>
        <v>331</v>
        <stp/>
        <stp>##V3_BDHV12</stp>
        <stp>XOM US Equity</stp>
        <stp>MIN_NONCONTROL_INTEREST_CREDITS</stp>
        <stp>FQ4 2005</stp>
        <stp>FQ4 2005</stp>
        <stp>[FA1_ivyerigx.xlsx]Income - Adjusted!R23C32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23" s="2"/>
      </tp>
      <tp>
        <v>283</v>
        <stp/>
        <stp>##V3_BDHV12</stp>
        <stp>XOM US Equity</stp>
        <stp>MIN_NONCONTROL_INTEREST_CREDITS</stp>
        <stp>FQ4 2007</stp>
        <stp>FQ4 2007</stp>
        <stp>[FA1_ivyerigx.xlsx]Income - Adjusted!R23C40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23" s="2"/>
      </tp>
      <tp>
        <v>120</v>
        <stp/>
        <stp>##V3_BDHV12</stp>
        <stp>XOM US Equity</stp>
        <stp>MIN_NONCONTROL_INTEREST_CREDITS</stp>
        <stp>FQ4 2003</stp>
        <stp>FQ4 2003</stp>
        <stp>[FA1_ivyerigx.xlsx]Income - Adjusted!R23C24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23" s="2"/>
      </tp>
      <tp>
        <v>149</v>
        <stp/>
        <stp>##V3_BDHV12</stp>
        <stp>XOM US Equity</stp>
        <stp>MIN_NONCONTROL_INTEREST_CREDITS</stp>
        <stp>FQ4 2001</stp>
        <stp>FQ4 2001</stp>
        <stp>[FA1_ivyerigx.xlsx]Income - Adjusted!R23C16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23" s="2"/>
      </tp>
      <tp>
        <v>7449</v>
        <stp/>
        <stp>##V3_BDHV12</stp>
        <stp>XOM US Equity</stp>
        <stp>CF_CASH_FROM_OPER</stp>
        <stp>FQ3 2002</stp>
        <stp>FQ3 2002</stp>
        <stp>[FA1_ivyerigx.xlsx]Cash Flow - Standardized!R15C19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15" s="4"/>
      </tp>
      <tp>
        <v>14631</v>
        <stp/>
        <stp>##V3_BDHV12</stp>
        <stp>XOM US Equity</stp>
        <stp>CF_CASH_FROM_OPER</stp>
        <stp>FQ1 2006</stp>
        <stp>FQ1 2006</stp>
        <stp>[FA1_ivyerigx.xlsx]Cash Flow - Standardized!R15C33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15" s="4"/>
      </tp>
      <tp>
        <v>5255</v>
        <stp/>
        <stp>##V3_BDHV12</stp>
        <stp>XOM US Equity</stp>
        <stp>CF_CASH_FROM_OPER</stp>
        <stp>FQ3 2001</stp>
        <stp>FQ3 2001</stp>
        <stp>[FA1_ivyerigx.xlsx]Cash Flow - Standardized!R15C15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15" s="4"/>
      </tp>
      <tp>
        <v>14286</v>
        <stp/>
        <stp>##V3_BDHV12</stp>
        <stp>XOM US Equity</stp>
        <stp>CF_CASH_FROM_OPER</stp>
        <stp>FQ1 2007</stp>
        <stp>FQ1 2007</stp>
        <stp>[FA1_ivyerigx.xlsx]Cash Flow - Standardized!R15C37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15" s="4"/>
      </tp>
      <tp>
        <v>4856</v>
        <stp/>
        <stp>##V3_BDHV12</stp>
        <stp>XOM US Equity</stp>
        <stp>EQY_SH_OUT</stp>
        <stp>FQ3 1999</stp>
        <stp>FQ3 1999</stp>
        <stp>[FA1_ivyerigx.xlsx]Stock Value!R13C7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13" s="6"/>
      </tp>
      <tp>
        <v>5408</v>
        <stp/>
        <stp>##V3_BDHV12</stp>
        <stp>XOM US Equity</stp>
        <stp>CF_CASH_FROM_OPER</stp>
        <stp>FQ3 2000</stp>
        <stp>FQ3 2000</stp>
        <stp>[FA1_ivyerigx.xlsx]Cash Flow - Standardized!R15C11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15" s="4"/>
      </tp>
      <tp>
        <v>0.20499999999999999</v>
        <stp/>
        <stp>##V3_BDHV12</stp>
        <stp>XOM US Equity</stp>
        <stp>EQY_DPS</stp>
        <stp>FQ4 1998</stp>
        <stp>FQ4 1998</stp>
        <stp>[FA1_ivyerigx.xlsx]Per Share!R20C4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0" s="5"/>
      </tp>
      <tp>
        <v>0.20499999999999999</v>
        <stp/>
        <stp>##V3_BDHV12</stp>
        <stp>XOM US Equity</stp>
        <stp>EQY_DPS</stp>
        <stp>FQ3 1998</stp>
        <stp>FQ3 1998</stp>
        <stp>[FA1_ivyerigx.xlsx]Per Share!R20C3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0" s="5"/>
      </tp>
      <tp>
        <v>0.56479999999999997</v>
        <stp/>
        <stp>##V3_BDHV12</stp>
        <stp>XOM US Equity</stp>
        <stp>FREE_CASH_FLOW_PER_SH</stp>
        <stp>FQ2 2000</stp>
        <stp>FQ2 2000</stp>
        <stp>[FA1_ivyerigx.xlsx]Cash Flow - Standardized!R49C10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49" s="4"/>
      </tp>
      <tp>
        <v>0.48459999999999998</v>
        <stp/>
        <stp>##V3_BDHV12</stp>
        <stp>XOM US Equity</stp>
        <stp>FREE_CASH_FLOW_PER_SH</stp>
        <stp>FQ3 2000</stp>
        <stp>FQ3 2000</stp>
        <stp>[FA1_ivyerigx.xlsx]Cash Flow - Standardized!R49C11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49" s="4"/>
      </tp>
      <tp t="s">
        <v>—</v>
        <stp/>
        <stp>##V3_BDHV12</stp>
        <stp>XOM US Equity</stp>
        <stp>IS_NET_ABNORMAL_ITEMS</stp>
        <stp>FQ3 1999</stp>
        <stp>FQ3 1999</stp>
        <stp>[FA1_ivyerigx.xlsx]Income - Adjusted!R30C7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30" s="2"/>
      </tp>
      <tp t="s">
        <v>—</v>
        <stp/>
        <stp>##V3_BDHV12</stp>
        <stp>XOM US Equity</stp>
        <stp>IS_NET_ABNORMAL_ITEMS</stp>
        <stp>FQ3 1998</stp>
        <stp>FQ3 1998</stp>
        <stp>[FA1_ivyerigx.xlsx]Income - Adjusted!R30C3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30" s="2"/>
      </tp>
      <tp>
        <v>0.46</v>
        <stp/>
        <stp>##V3_BDHV12</stp>
        <stp>XOM US Equity</stp>
        <stp>IS_DIL_EPS_CONT_OPS</stp>
        <stp>FQ3 2001</stp>
        <stp>FQ3 2001</stp>
        <stp>[FA1_ivyerigx.xlsx]Income - Adjusted!R41C15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41" s="2"/>
      </tp>
      <tp>
        <v>1.32</v>
        <stp/>
        <stp>##V3_BDHV12</stp>
        <stp>XOM US Equity</stp>
        <stp>IS_DIL_EPS_CONT_OPS</stp>
        <stp>FQ3 2005</stp>
        <stp>FQ3 2005</stp>
        <stp>[FA1_ivyerigx.xlsx]Income - Adjusted!R41C31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41" s="2"/>
      </tp>
      <tp>
        <v>16673</v>
        <stp/>
        <stp>##V3_BDHV12</stp>
        <stp>XOM US Equity</stp>
        <stp>OTHER_CURRENT_LIABS_DETAILED</stp>
        <stp>FQ4 2000</stp>
        <stp>FQ4 2000</stp>
        <stp>[FA1_ivyerigx.xlsx]Bal Sheet - Standardized!R34C12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34" s="3"/>
      </tp>
      <tp>
        <v>2513</v>
        <stp/>
        <stp>##V3_BDHV12</stp>
        <stp>XOM US Equity</stp>
        <stp>CF_DEPR_AMORT</stp>
        <stp>FQ3 2005</stp>
        <stp>FQ3 2005</stp>
        <stp>[FA1_ivyerigx.xlsx]Cash Flow - Standardized!R8C31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8" s="4"/>
      </tp>
      <tp>
        <v>2516</v>
        <stp/>
        <stp>##V3_BDHV12</stp>
        <stp>XOM US Equity</stp>
        <stp>CF_DEPR_AMORT</stp>
        <stp>FQ2 2005</stp>
        <stp>FQ2 2005</stp>
        <stp>[FA1_ivyerigx.xlsx]Cash Flow - Standardized!R8C30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8" s="4"/>
      </tp>
      <tp>
        <v>2644</v>
        <stp/>
        <stp>##V3_BDHV12</stp>
        <stp>XOM US Equity</stp>
        <stp>CF_DEPR_AMORT</stp>
        <stp>FQ1 2006</stp>
        <stp>FQ1 2006</stp>
        <stp>[FA1_ivyerigx.xlsx]Cash Flow - Standardized!R8C33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G8" s="4"/>
      </tp>
      <tp>
        <v>3282</v>
        <stp/>
        <stp>##V3_BDHV12</stp>
        <stp>XOM US Equity</stp>
        <stp>CF_DEPR_AMORT</stp>
        <stp>FQ4 2006</stp>
        <stp>FQ4 2006</stp>
        <stp>[FA1_ivyerigx.xlsx]Cash Flow - Standardized!R8C36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8" s="4"/>
      </tp>
      <tp>
        <v>3438.9326000000001</v>
        <stp/>
        <stp>##V3_BDHV12</stp>
        <stp>XOM US Equity</stp>
        <stp>CF_FREE_CASH_FLOW_FIRM</stp>
        <stp>FQ3 2000</stp>
        <stp>FQ3 2000</stp>
        <stp>[FA1_ivyerigx.xlsx]Cash Flow - Standardized!R47C11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K47" s="4"/>
      </tp>
      <tp>
        <v>4007.9771000000001</v>
        <stp/>
        <stp>##V3_BDHV12</stp>
        <stp>XOM US Equity</stp>
        <stp>CF_FREE_CASH_FLOW_FIRM</stp>
        <stp>FQ2 2000</stp>
        <stp>FQ2 2000</stp>
        <stp>[FA1_ivyerigx.xlsx]Cash Flow - Standardized!R47C10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J47" s="4"/>
      </tp>
      <tp>
        <v>3549</v>
        <stp/>
        <stp>##V3_BDHV12</stp>
        <stp>XOM US Equity</stp>
        <stp>OTHER_CURRENT_LIABS_DETAILED</stp>
        <stp>FQ4 2001</stp>
        <stp>FQ4 2001</stp>
        <stp>[FA1_ivyerigx.xlsx]Bal Sheet - Standardized!R34C16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34" s="3"/>
      </tp>
      <tp>
        <v>2942</v>
        <stp/>
        <stp>##V3_BDHV12</stp>
        <stp>XOM US Equity</stp>
        <stp>CF_DEPR_AMORT</stp>
        <stp>FQ1 2007</stp>
        <stp>FQ1 2007</stp>
        <stp>[FA1_ivyerigx.xlsx]Cash Flow - Standardized!R8C37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K8" s="4"/>
      </tp>
      <tp>
        <v>2760</v>
        <stp/>
        <stp>##V3_BDHV12</stp>
        <stp>XOM US Equity</stp>
        <stp>CF_DEPR_AMORT</stp>
        <stp>FQ2 2006</stp>
        <stp>FQ2 2006</stp>
        <stp>[FA1_ivyerigx.xlsx]Cash Flow - Standardized!R8C34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8" s="4"/>
      </tp>
      <tp>
        <v>2730</v>
        <stp/>
        <stp>##V3_BDHV12</stp>
        <stp>XOM US Equity</stp>
        <stp>CF_DEPR_AMORT</stp>
        <stp>FQ3 2006</stp>
        <stp>FQ3 2006</stp>
        <stp>[FA1_ivyerigx.xlsx]Cash Flow - Standardized!R8C35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8" s="4"/>
      </tp>
      <tp>
        <v>2671</v>
        <stp/>
        <stp>##V3_BDHV12</stp>
        <stp>XOM US Equity</stp>
        <stp>CF_DEPR_AMORT</stp>
        <stp>FQ4 2005</stp>
        <stp>FQ4 2005</stp>
        <stp>[FA1_ivyerigx.xlsx]Cash Flow - Standardized!R8C32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8" s="4"/>
      </tp>
      <tp>
        <v>3159</v>
        <stp/>
        <stp>##V3_BDHV12</stp>
        <stp>XOM US Equity</stp>
        <stp>CF_DEPR_AMORT</stp>
        <stp>FQ3 2007</stp>
        <stp>FQ3 2007</stp>
        <stp>[FA1_ivyerigx.xlsx]Cash Flow - Standardized!R8C39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8" s="4"/>
      </tp>
      <tp>
        <v>2994</v>
        <stp/>
        <stp>##V3_BDHV12</stp>
        <stp>XOM US Equity</stp>
        <stp>CF_DEPR_AMORT</stp>
        <stp>FQ2 2007</stp>
        <stp>FQ2 2007</stp>
        <stp>[FA1_ivyerigx.xlsx]Cash Flow - Standardized!R8C38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8" s="4"/>
      </tp>
      <tp>
        <v>0.56999999999999995</v>
        <stp/>
        <stp>##V3_BDHV12</stp>
        <stp>XOM US Equity</stp>
        <stp>IS_DIL_EPS_BEF_XO</stp>
        <stp>FQ3 2000</stp>
        <stp>FQ3 2000</stp>
        <stp>[FA1_ivyerigx.xlsx]Per Share!R18C11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18" s="5"/>
      </tp>
      <tp>
        <v>0.62</v>
        <stp/>
        <stp>##V3_BDHV12</stp>
        <stp>XOM US Equity</stp>
        <stp>IS_DIL_EPS_BEF_XO</stp>
        <stp>FQ2 2003</stp>
        <stp>FQ2 2003</stp>
        <stp>[FA1_ivyerigx.xlsx]Per Share!R18C22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18" s="5"/>
      </tp>
      <tp>
        <v>0.83</v>
        <stp/>
        <stp>##V3_BDHV12</stp>
        <stp>XOM US Equity</stp>
        <stp>IS_DIL_EPS_BEF_XO</stp>
        <stp>FQ1 2004</stp>
        <stp>FQ1 2004</stp>
        <stp>[FA1_ivyerigx.xlsx]Per Share!R18C25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18" s="5"/>
      </tp>
      <tp>
        <v>0</v>
        <stp/>
        <stp>##V3_BDHV12</stp>
        <stp>XOM US Equity</stp>
        <stp>BS_OPTIONS_GRANTED</stp>
        <stp>FQ4 2002</stp>
        <stp>FQ4 2002</stp>
        <stp>[FA1_ivyerigx.xlsx]Bal Sheet - Standardized!R58C20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8" s="3"/>
      </tp>
      <tp>
        <v>14599</v>
        <stp/>
        <stp>##V3_BDHV12</stp>
        <stp>XOM US Equity</stp>
        <stp>OTHER_CURRENT_LIABS_DETAILED</stp>
        <stp>FQ1 2008</stp>
        <stp>FQ1 2008</stp>
        <stp>[FA1_ivyerigx.xlsx]Bal Sheet - Standardized!R34C41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O34" s="3"/>
      </tp>
      <tp t="s">
        <v>—</v>
        <stp/>
        <stp>##V3_BDHV12</stp>
        <stp>XOM US Equity</stp>
        <stp>BS_OPTIONS_GRANTED</stp>
        <stp>FQ4 2000</stp>
        <stp>FQ4 2000</stp>
        <stp>[FA1_ivyerigx.xlsx]Bal Sheet - Standardized!R58C12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8" s="3"/>
      </tp>
      <tp>
        <v>5591</v>
        <stp/>
        <stp>##V3_BDHV12</stp>
        <stp>XOM US Equity</stp>
        <stp>EBITDA</stp>
        <stp>FQ2 2002</stp>
        <stp>FQ2 2002</stp>
        <stp>[FA1_ivyerigx.xlsx]Cash Flow - Standardized!R42C18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42" s="4"/>
      </tp>
      <tp>
        <v>6045</v>
        <stp/>
        <stp>##V3_BDHV12</stp>
        <stp>XOM US Equity</stp>
        <stp>EBITDA</stp>
        <stp>FQ3 2002</stp>
        <stp>FQ3 2002</stp>
        <stp>[FA1_ivyerigx.xlsx]Cash Flow - Standardized!R42C19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42" s="4"/>
      </tp>
      <tp>
        <v>13993</v>
        <stp/>
        <stp>##V3_BDHV12</stp>
        <stp>XOM US Equity</stp>
        <stp>EBITDA</stp>
        <stp>FQ4 2004</stp>
        <stp>FQ4 2004</stp>
        <stp>[FA1_ivyerigx.xlsx]Cash Flow - Standardized!R42C28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42" s="4"/>
      </tp>
      <tp>
        <v>21332</v>
        <stp/>
        <stp>##V3_BDHV12</stp>
        <stp>XOM US Equity</stp>
        <stp>EBITDA</stp>
        <stp>FQ2 2008</stp>
        <stp>FQ2 2008</stp>
        <stp>[FA1_ivyerigx.xlsx]Cash Flow - Standardized!R42C42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42" s="4"/>
      </tp>
      <tp>
        <v>20899</v>
        <stp/>
        <stp>##V3_BDHV12</stp>
        <stp>XOM US Equity</stp>
        <stp>EBITDA</stp>
        <stp>FQ1 2008</stp>
        <stp>FQ1 2008</stp>
        <stp>[FA1_ivyerigx.xlsx]Cash Flow - Standardized!R42C41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42" s="4"/>
      </tp>
      <tp>
        <v>1761</v>
        <stp/>
        <stp>##V3_BDHV12</stp>
        <stp>XOM US Equity</stp>
        <stp>C&amp;CE_AND_STI_DETAILED</stp>
        <stp>FQ4 1999</stp>
        <stp>FQ4 1999</stp>
        <stp>[FA1_ivyerigx.xlsx]Bal Sheet - Standardized!R7C8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7" s="3"/>
      </tp>
      <tp>
        <v>14.0184</v>
        <stp/>
        <stp>##V3_BDHV12</stp>
        <stp>XOM US Equity</stp>
        <stp>TANG_BOOK_VAL_PER_SH</stp>
        <stp>FQ1 2004</stp>
        <stp>FQ1 2004</stp>
        <stp>[FA1_ivyerigx.xlsx]Per Share!R27C25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27" s="5"/>
      </tp>
      <tp>
        <v>12.4145</v>
        <stp/>
        <stp>##V3_BDHV12</stp>
        <stp>XOM US Equity</stp>
        <stp>TANG_BOOK_VAL_PER_SH</stp>
        <stp>FQ2 2003</stp>
        <stp>FQ2 2003</stp>
        <stp>[FA1_ivyerigx.xlsx]Per Share!R27C22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27" s="5"/>
      </tp>
      <tp>
        <v>9.7972999999999999</v>
        <stp/>
        <stp>##V3_BDHV12</stp>
        <stp>XOM US Equity</stp>
        <stp>TANG_BOOK_VAL_PER_SH</stp>
        <stp>FQ3 2000</stp>
        <stp>FQ3 2000</stp>
        <stp>[FA1_ivyerigx.xlsx]Per Share!R27C11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K27" s="5"/>
      </tp>
      <tp>
        <v>1405</v>
        <stp/>
        <stp>##V3_BDHV12</stp>
        <stp>XOM US Equity</stp>
        <stp>C&amp;CE_AND_STI_DETAILED</stp>
        <stp>FQ1 1999</stp>
        <stp>FQ1 1999</stp>
        <stp>[FA1_ivyerigx.xlsx]Bal Sheet - Standardized!R7C5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7" s="3"/>
      </tp>
      <tp>
        <v>1348</v>
        <stp/>
        <stp>##V3_BDHV12</stp>
        <stp>XOM US Equity</stp>
        <stp>C&amp;CE_AND_STI_DETAILED</stp>
        <stp>FQ2 1999</stp>
        <stp>FQ2 1999</stp>
        <stp>[FA1_ivyerigx.xlsx]Bal Sheet - Standardized!R7C6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7" s="3"/>
      </tp>
      <tp>
        <v>1190</v>
        <stp/>
        <stp>##V3_BDHV12</stp>
        <stp>XOM US Equity</stp>
        <stp>C&amp;CE_AND_STI_DETAILED</stp>
        <stp>FQ3 1999</stp>
        <stp>FQ3 1999</stp>
        <stp>[FA1_ivyerigx.xlsx]Bal Sheet - Standardized!R7C7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7" s="3"/>
      </tp>
      <tp>
        <v>4704</v>
        <stp/>
        <stp>##V3_BDHV12</stp>
        <stp>XOM US Equity</stp>
        <stp>INVTRY_FINISHED_GOODS</stp>
        <stp>FQ3 1998</stp>
        <stp>FQ3 1998</stp>
        <stp>[FA1_ivyerigx.xlsx]Bal Sheet - Standardized!R15C3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4896</v>
        <stp/>
        <stp>##V3_BDHV12</stp>
        <stp>XOM US Equity</stp>
        <stp>INVTRY_FINISHED_GOODS</stp>
        <stp>FQ4 1998</stp>
        <stp>FQ4 1998</stp>
        <stp>[FA1_ivyerigx.xlsx]Bal Sheet - Standardized!R15C4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4263</v>
        <stp/>
        <stp>##V3_BDHV12</stp>
        <stp>XOM US Equity</stp>
        <stp>INVTRY_FINISHED_GOODS</stp>
        <stp>FQ1 1999</stp>
        <stp>FQ1 1999</stp>
        <stp>[FA1_ivyerigx.xlsx]Bal Sheet - Standardized!R15C5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4220</v>
        <stp/>
        <stp>##V3_BDHV12</stp>
        <stp>XOM US Equity</stp>
        <stp>INVTRY_FINISHED_GOODS</stp>
        <stp>FQ3 1999</stp>
        <stp>FQ3 1999</stp>
        <stp>[FA1_ivyerigx.xlsx]Bal Sheet - Standardized!R15C7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4123</v>
        <stp/>
        <stp>##V3_BDHV12</stp>
        <stp>XOM US Equity</stp>
        <stp>INVTRY_FINISHED_GOODS</stp>
        <stp>FQ2 1999</stp>
        <stp>FQ2 1999</stp>
        <stp>[FA1_ivyerigx.xlsx]Bal Sheet - Standardized!R15C6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7370</v>
        <stp/>
        <stp>##V3_BDHV12</stp>
        <stp>XOM US Equity</stp>
        <stp>INVTRY_FINISHED_GOODS</stp>
        <stp>FQ4 1999</stp>
        <stp>FQ4 1999</stp>
        <stp>[FA1_ivyerigx.xlsx]Bal Sheet - Standardized!R15C8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11172</v>
        <stp/>
        <stp>##V3_BDHV12</stp>
        <stp>XOM US Equity</stp>
        <stp>NI_INCLUDING_MINORITY_INT_RATIO</stp>
        <stp>FQ1 2008</stp>
        <stp>FQ1 2008</stp>
        <stp>[FA1_ivyerigx.xlsx]Income - Adjusted!R22C41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O22" s="2"/>
      </tp>
      <tp t="s">
        <v>—</v>
        <stp/>
        <stp>##V3_BDHV12</stp>
        <stp>XOM US Equity</stp>
        <stp>IS_EXPORT_SALES</stp>
        <stp>FQ4 2006</stp>
        <stp>FQ4 2006</stp>
        <stp>[FA1_ivyerigx.xlsx]Income - Adjusted!R55C36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55" s="2"/>
      </tp>
      <tp t="s">
        <v>—</v>
        <stp/>
        <stp>##V3_BDHV12</stp>
        <stp>XOM US Equity</stp>
        <stp>IS_EXPORT_SALES</stp>
        <stp>FQ1 2001</stp>
        <stp>FQ1 2001</stp>
        <stp>[FA1_ivyerigx.xlsx]Income - Adjusted!R55C13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55" s="2"/>
      </tp>
      <tp t="s">
        <v>—</v>
        <stp/>
        <stp>##V3_BDHV12</stp>
        <stp>XOM US Equity</stp>
        <stp>IS_EXPORT_SALES</stp>
        <stp>FQ2 2002</stp>
        <stp>FQ2 2002</stp>
        <stp>[FA1_ivyerigx.xlsx]Income - Adjusted!R55C18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55" s="2"/>
      </tp>
      <tp>
        <v>12968</v>
        <stp/>
        <stp>##V3_BDHV12</stp>
        <stp>XOM US Equity</stp>
        <stp>CF_CASH_FROM_OPER</stp>
        <stp>FQ1 2005</stp>
        <stp>FQ1 2005</stp>
        <stp>[FA1_ivyerigx.xlsx]Cash Flow - Standardized!R15C29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15" s="4"/>
      </tp>
      <tp>
        <v>4116</v>
        <stp/>
        <stp>##V3_BDHV12</stp>
        <stp>XOM US Equity</stp>
        <stp>CF_CASH_FROM_OPER</stp>
        <stp>FQ2 2002</stp>
        <stp>FQ2 2002</stp>
        <stp>[FA1_ivyerigx.xlsx]Cash Flow - Standardized!R15C18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15" s="4"/>
      </tp>
      <tp>
        <v>8420</v>
        <stp/>
        <stp>##V3_BDHV12</stp>
        <stp>XOM US Equity</stp>
        <stp>EARN_FOR_COMMON</stp>
        <stp>FQ4 2004</stp>
        <stp>FQ4 2004</stp>
        <stp>[FA1_ivyerigx.xlsx]Income - Adjusted!R27C28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B27" s="2"/>
      </tp>
      <tp>
        <v>7860</v>
        <stp/>
        <stp>##V3_BDHV12</stp>
        <stp>XOM US Equity</stp>
        <stp>EARN_FOR_COMMON</stp>
        <stp>FQ1 2005</stp>
        <stp>FQ1 2005</stp>
        <stp>[FA1_ivyerigx.xlsx]Income - Adjusted!R27C29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C27" s="2"/>
      </tp>
      <tp>
        <v>5515</v>
        <stp/>
        <stp>##V3_BDHV12</stp>
        <stp>XOM US Equity</stp>
        <stp>CF_CASH_FROM_OPER</stp>
        <stp>FQ2 2001</stp>
        <stp>FQ2 2001</stp>
        <stp>[FA1_ivyerigx.xlsx]Cash Flow - Standardized!R15C14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15" s="4"/>
      </tp>
      <tp>
        <v>10138</v>
        <stp/>
        <stp>##V3_BDHV12</stp>
        <stp>XOM US Equity</stp>
        <stp>CF_CASH_FROM_OPER</stp>
        <stp>FQ1 2004</stp>
        <stp>FQ1 2004</stp>
        <stp>[FA1_ivyerigx.xlsx]Cash Flow - Standardized!R15C25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15" s="4"/>
      </tp>
      <tp>
        <v>8646</v>
        <stp/>
        <stp>##V3_BDHV12</stp>
        <stp>XOM US Equity</stp>
        <stp>CF_CASH_FROM_OPER</stp>
        <stp>FQ1 2003</stp>
        <stp>FQ1 2003</stp>
        <stp>[FA1_ivyerigx.xlsx]Cash Flow - Standardized!R15C21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15" s="4"/>
      </tp>
      <tp>
        <v>5964</v>
        <stp/>
        <stp>##V3_BDHV12</stp>
        <stp>XOM US Equity</stp>
        <stp>CF_CASH_FROM_OPER</stp>
        <stp>FQ2 2000</stp>
        <stp>FQ2 2000</stp>
        <stp>[FA1_ivyerigx.xlsx]Cash Flow - Standardized!R15C10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15" s="4"/>
      </tp>
      <tp>
        <v>4855.5709999999999</v>
        <stp/>
        <stp>##V3_BDHV12</stp>
        <stp>XOM US Equity</stp>
        <stp>EQY_SH_OUT</stp>
        <stp>FQ2 1999</stp>
        <stp>FQ2 1999</stp>
        <stp>[FA1_ivyerigx.xlsx]Stock Value!R13C6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13" s="6"/>
      </tp>
      <tp>
        <v>2.0499999999999998</v>
        <stp/>
        <stp>##V3_BDHV12</stp>
        <stp>XOM US Equity</stp>
        <stp>IS_EARN_BEF_XO_ITEMS_PER_SH</stp>
        <stp>FQ1 2008</stp>
        <stp>FQ1 2008</stp>
        <stp>[FA1_ivyerigx.xlsx]Per Share!R15C41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O15" s="5"/>
      </tp>
      <tp>
        <v>36.375</v>
        <stp/>
        <stp>##V3_BDHV12</stp>
        <stp>XOM US Equity</stp>
        <stp>PX_OPEN</stp>
        <stp>FQ1 1999</stp>
        <stp>FQ1 1999</stp>
        <stp>[FA1_ivyerigx.xlsx]Stock Value!R8C5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8" s="6"/>
      </tp>
      <tp>
        <v>35.093800000000002</v>
        <stp/>
        <stp>##V3_BDHV12</stp>
        <stp>XOM US Equity</stp>
        <stp>PX_OPEN</stp>
        <stp>FQ4 1998</stp>
        <stp>FQ4 1998</stp>
        <stp>[FA1_ivyerigx.xlsx]Stock Value!R8C4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8" s="6"/>
      </tp>
      <tp>
        <v>3.8699999999999998E-2</v>
        <stp/>
        <stp>##V3_BDHV12</stp>
        <stp>XOM US Equity</stp>
        <stp>FREE_CASH_FLOW_PER_SH</stp>
        <stp>FQ4 2001</stp>
        <stp>FQ4 2001</stp>
        <stp>[FA1_ivyerigx.xlsx]Cash Flow - Standardized!R49C16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9" s="4"/>
      </tp>
      <tp>
        <v>0.96950000000000003</v>
        <stp/>
        <stp>##V3_BDHV12</stp>
        <stp>XOM US Equity</stp>
        <stp>FREE_CASH_FLOW_PER_SH</stp>
        <stp>FQ1 2001</stp>
        <stp>FQ1 2001</stp>
        <stp>[FA1_ivyerigx.xlsx]Cash Flow - Standardized!R49C13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49" s="4"/>
      </tp>
      <tp>
        <v>0.49320000000000003</v>
        <stp/>
        <stp>##V3_BDHV12</stp>
        <stp>XOM US Equity</stp>
        <stp>FREE_CASH_FLOW_PER_SH</stp>
        <stp>FQ4 2003</stp>
        <stp>FQ4 2003</stp>
        <stp>[FA1_ivyerigx.xlsx]Cash Flow - Standardized!R49C24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9" s="4"/>
      </tp>
      <tp>
        <v>0.39750000000000002</v>
        <stp/>
        <stp>##V3_BDHV12</stp>
        <stp>XOM US Equity</stp>
        <stp>FREE_CASH_FLOW_PER_SH</stp>
        <stp>FQ3 2003</stp>
        <stp>FQ3 2003</stp>
        <stp>[FA1_ivyerigx.xlsx]Cash Flow - Standardized!R49C23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49" s="4"/>
      </tp>
      <tp>
        <v>0.60940000000000005</v>
        <stp/>
        <stp>##V3_BDHV12</stp>
        <stp>XOM US Equity</stp>
        <stp>FREE_CASH_FLOW_PER_SH</stp>
        <stp>FQ2 2003</stp>
        <stp>FQ2 2003</stp>
        <stp>[FA1_ivyerigx.xlsx]Cash Flow - Standardized!R49C22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V49" s="4"/>
      </tp>
      <tp>
        <v>0.85409999999999997</v>
        <stp/>
        <stp>##V3_BDHV12</stp>
        <stp>XOM US Equity</stp>
        <stp>FREE_CASH_FLOW_PER_SH</stp>
        <stp>FQ1 2003</stp>
        <stp>FQ1 2003</stp>
        <stp>[FA1_ivyerigx.xlsx]Cash Flow - Standardized!R49C21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49" s="4"/>
      </tp>
      <tp>
        <v>1.0426</v>
        <stp/>
        <stp>##V3_BDHV12</stp>
        <stp>XOM US Equity</stp>
        <stp>FREE_CASH_FLOW_PER_SH</stp>
        <stp>FQ4 2005</stp>
        <stp>FQ4 2005</stp>
        <stp>[FA1_ivyerigx.xlsx]Cash Flow - Standardized!R49C32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9" s="4"/>
      </tp>
      <tp>
        <v>1.2493000000000001</v>
        <stp/>
        <stp>##V3_BDHV12</stp>
        <stp>XOM US Equity</stp>
        <stp>FREE_CASH_FLOW_PER_SH</stp>
        <stp>FQ4 2007</stp>
        <stp>FQ4 2007</stp>
        <stp>[FA1_ivyerigx.xlsx]Cash Flow - Standardized!R49C40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9" s="4"/>
      </tp>
      <tp t="s">
        <v>—</v>
        <stp/>
        <stp>##V3_BDHV12</stp>
        <stp>XOM US Equity</stp>
        <stp>IS_NET_ABNORMAL_ITEMS</stp>
        <stp>FQ2 1999</stp>
        <stp>FQ2 1999</stp>
        <stp>[FA1_ivyerigx.xlsx]Income - Adjusted!R30C6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F30" s="2"/>
      </tp>
      <tp>
        <v>0.63</v>
        <stp/>
        <stp>##V3_BDHV12</stp>
        <stp>XOM US Equity</stp>
        <stp>IS_DIL_EPS_CONT_OPS</stp>
        <stp>FQ2 2001</stp>
        <stp>FQ2 2001</stp>
        <stp>[FA1_ivyerigx.xlsx]Income - Adjusted!R41C14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41" s="2"/>
      </tp>
      <tp>
        <v>1.23</v>
        <stp/>
        <stp>##V3_BDHV12</stp>
        <stp>XOM US Equity</stp>
        <stp>IS_DIL_EPS_CONT_OPS</stp>
        <stp>FQ2 2005</stp>
        <stp>FQ2 2005</stp>
        <stp>[FA1_ivyerigx.xlsx]Income - Adjusted!R41C30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41" s="2"/>
      </tp>
      <tp>
        <v>0.31</v>
        <stp/>
        <stp>##V3_BDHV12</stp>
        <stp>XOM US Equity</stp>
        <stp>IS_DIL_EPS_CONT_OPS</stp>
        <stp>FQ1 2002</stp>
        <stp>FQ1 2002</stp>
        <stp>[FA1_ivyerigx.xlsx]Income - Adjusted!R41C17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41" s="2"/>
      </tp>
      <tp>
        <v>1.37</v>
        <stp/>
        <stp>##V3_BDHV12</stp>
        <stp>XOM US Equity</stp>
        <stp>IS_DIL_EPS_CONT_OPS</stp>
        <stp>FQ1 2006</stp>
        <stp>FQ1 2006</stp>
        <stp>[FA1_ivyerigx.xlsx]Income - Adjusted!R41C33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41" s="2"/>
      </tp>
      <tp>
        <v>2493</v>
        <stp/>
        <stp>##V3_BDHV12</stp>
        <stp>XOM US Equity</stp>
        <stp>CF_DEPR_AMORT</stp>
        <stp>FQ4 2003</stp>
        <stp>FQ4 2003</stp>
        <stp>[FA1_ivyerigx.xlsx]Cash Flow - Standardized!R8C24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8" s="4"/>
      </tp>
      <tp>
        <v>2182</v>
        <stp/>
        <stp>##V3_BDHV12</stp>
        <stp>XOM US Equity</stp>
        <stp>CF_DEPR_AMORT</stp>
        <stp>FQ1 2003</stp>
        <stp>FQ1 2003</stp>
        <stp>[FA1_ivyerigx.xlsx]Cash Flow - Standardized!R8C21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U8" s="4"/>
      </tp>
      <tp>
        <v>2203</v>
        <stp/>
        <stp>##V3_BDHV12</stp>
        <stp>XOM US Equity</stp>
        <stp>CF_DEPR_AMORT</stp>
        <stp>FQ3 2003</stp>
        <stp>FQ3 2003</stp>
        <stp>[FA1_ivyerigx.xlsx]Cash Flow - Standardized!R8C23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8" s="4"/>
      </tp>
      <tp>
        <v>2169</v>
        <stp/>
        <stp>##V3_BDHV12</stp>
        <stp>XOM US Equity</stp>
        <stp>CF_DEPR_AMORT</stp>
        <stp>FQ2 2003</stp>
        <stp>FQ2 2003</stp>
        <stp>[FA1_ivyerigx.xlsx]Cash Flow - Standardized!R8C22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8" s="4"/>
      </tp>
      <tp>
        <v>6566.2420000000002</v>
        <stp/>
        <stp>##V3_BDHV12</stp>
        <stp>XOM US Equity</stp>
        <stp>CF_FREE_CASH_FLOW_FIRM</stp>
        <stp>FQ4 2005</stp>
        <stp>FQ4 2005</stp>
        <stp>[FA1_ivyerigx.xlsx]Cash Flow - Standardized!R47C32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F47" s="4"/>
      </tp>
      <tp>
        <v>6851.4161000000004</v>
        <stp/>
        <stp>##V3_BDHV12</stp>
        <stp>XOM US Equity</stp>
        <stp>CF_FREE_CASH_FLOW_FIRM</stp>
        <stp>FQ4 2007</stp>
        <stp>FQ4 2007</stp>
        <stp>[FA1_ivyerigx.xlsx]Cash Flow - Standardized!R47C40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N47" s="4"/>
      </tp>
      <tp>
        <v>2075</v>
        <stp/>
        <stp>##V3_BDHV12</stp>
        <stp>XOM US Equity</stp>
        <stp>CF_DEPR_AMORT</stp>
        <stp>FQ4 2002</stp>
        <stp>FQ4 2002</stp>
        <stp>[FA1_ivyerigx.xlsx]Cash Flow - Standardized!R8C20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8" s="4"/>
      </tp>
      <tp>
        <v>2350</v>
        <stp/>
        <stp>##V3_BDHV12</stp>
        <stp>XOM US Equity</stp>
        <stp>CF_DEPR_AMORT</stp>
        <stp>FQ2 2004</stp>
        <stp>FQ2 2004</stp>
        <stp>[FA1_ivyerigx.xlsx]Cash Flow - Standardized!R8C26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8" s="4"/>
      </tp>
      <tp>
        <v>2431</v>
        <stp/>
        <stp>##V3_BDHV12</stp>
        <stp>XOM US Equity</stp>
        <stp>CF_DEPR_AMORT</stp>
        <stp>FQ3 2004</stp>
        <stp>FQ3 2004</stp>
        <stp>[FA1_ivyerigx.xlsx]Cash Flow - Standardized!R8C27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8" s="4"/>
      </tp>
      <tp>
        <v>2373</v>
        <stp/>
        <stp>##V3_BDHV12</stp>
        <stp>XOM US Equity</stp>
        <stp>CF_DEPR_AMORT</stp>
        <stp>FQ1 2004</stp>
        <stp>FQ1 2004</stp>
        <stp>[FA1_ivyerigx.xlsx]Cash Flow - Standardized!R8C25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Y8" s="4"/>
      </tp>
      <tp>
        <v>314.3125</v>
        <stp/>
        <stp>##V3_BDHV12</stp>
        <stp>XOM US Equity</stp>
        <stp>CF_FREE_CASH_FLOW_FIRM</stp>
        <stp>FQ4 2001</stp>
        <stp>FQ4 2001</stp>
        <stp>[FA1_ivyerigx.xlsx]Cash Flow - Standardized!R47C16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P47" s="4"/>
      </tp>
      <tp>
        <v>6748.2300999999998</v>
        <stp/>
        <stp>##V3_BDHV12</stp>
        <stp>XOM US Equity</stp>
        <stp>CF_FREE_CASH_FLOW_FIRM</stp>
        <stp>FQ1 2001</stp>
        <stp>FQ1 2001</stp>
        <stp>[FA1_ivyerigx.xlsx]Cash Flow - Standardized!R47C13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M47" s="4"/>
      </tp>
      <tp>
        <v>3283.4902000000002</v>
        <stp/>
        <stp>##V3_BDHV12</stp>
        <stp>XOM US Equity</stp>
        <stp>CF_FREE_CASH_FLOW_FIRM</stp>
        <stp>FQ4 2003</stp>
        <stp>FQ4 2003</stp>
        <stp>[FA1_ivyerigx.xlsx]Cash Flow - Standardized!R47C24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X47" s="4"/>
      </tp>
      <tp>
        <v>5736.1188000000002</v>
        <stp/>
        <stp>##V3_BDHV12</stp>
        <stp>XOM US Equity</stp>
        <stp>CF_FREE_CASH_FLOW_FIRM</stp>
        <stp>FQ1 2003</stp>
        <stp>FQ1 2003</stp>
        <stp>[FA1_ivyerigx.xlsx]Cash Flow - Standardized!R47C21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U47" s="4"/>
      </tp>
      <tp>
        <v>4098.6477999999997</v>
        <stp/>
        <stp>##V3_BDHV12</stp>
        <stp>XOM US Equity</stp>
        <stp>CF_FREE_CASH_FLOW_FIRM</stp>
        <stp>FQ2 2003</stp>
        <stp>FQ2 2003</stp>
        <stp>[FA1_ivyerigx.xlsx]Cash Flow - Standardized!R47C22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V47" s="4"/>
      </tp>
      <tp>
        <v>2656.3654999999999</v>
        <stp/>
        <stp>##V3_BDHV12</stp>
        <stp>XOM US Equity</stp>
        <stp>CF_FREE_CASH_FLOW_FIRM</stp>
        <stp>FQ3 2003</stp>
        <stp>FQ3 2003</stp>
        <stp>[FA1_ivyerigx.xlsx]Cash Flow - Standardized!R47C23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W47" s="4"/>
      </tp>
      <tp>
        <v>2553</v>
        <stp/>
        <stp>##V3_BDHV12</stp>
        <stp>XOM US Equity</stp>
        <stp>CF_DEPR_AMORT</stp>
        <stp>FQ1 2005</stp>
        <stp>FQ1 2005</stp>
        <stp>[FA1_ivyerigx.xlsx]Cash Flow - Standardized!R8C29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C8" s="4"/>
      </tp>
      <tp>
        <v>0</v>
        <stp/>
        <stp>##V3_BDHV12</stp>
        <stp>XOM US Equity</stp>
        <stp>BS_OPTIONS_GRANTED</stp>
        <stp>FQ2 2005</stp>
        <stp>FQ2 2005</stp>
        <stp>[FA1_ivyerigx.xlsx]Bal Sheet - Standardized!R58C30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8" s="3"/>
      </tp>
      <tp>
        <v>0</v>
        <stp/>
        <stp>##V3_BDHV12</stp>
        <stp>XOM US Equity</stp>
        <stp>BS_OPTIONS_GRANTED</stp>
        <stp>FQ3 2005</stp>
        <stp>FQ3 2005</stp>
        <stp>[FA1_ivyerigx.xlsx]Bal Sheet - Standardized!R58C31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8" s="3"/>
      </tp>
      <tp>
        <v>0.55000000000000004</v>
        <stp/>
        <stp>##V3_BDHV12</stp>
        <stp>XOM US Equity</stp>
        <stp>IS_DIL_EPS_BEF_XO</stp>
        <stp>FQ3 2003</stp>
        <stp>FQ3 2003</stp>
        <stp>[FA1_ivyerigx.xlsx]Per Share!R18C23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18" s="5"/>
      </tp>
      <tp>
        <v>0.56999999999999995</v>
        <stp/>
        <stp>##V3_BDHV12</stp>
        <stp>XOM US Equity</stp>
        <stp>IS_DIL_EPS_BEF_XO</stp>
        <stp>FQ2 2000</stp>
        <stp>FQ2 2000</stp>
        <stp>[FA1_ivyerigx.xlsx]Per Share!R18C10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18" s="5"/>
      </tp>
      <tp>
        <v>1.62</v>
        <stp/>
        <stp>##V3_BDHV12</stp>
        <stp>XOM US Equity</stp>
        <stp>IS_DIL_EPS_BEF_XO</stp>
        <stp>FQ1 2007</stp>
        <stp>FQ1 2007</stp>
        <stp>[FA1_ivyerigx.xlsx]Per Share!R18C37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18" s="5"/>
      </tp>
      <tp>
        <v>1.76</v>
        <stp/>
        <stp>##V3_BDHV12</stp>
        <stp>XOM US Equity</stp>
        <stp>IS_DIL_EPS_BEF_XO</stp>
        <stp>FQ4 2006</stp>
        <stp>FQ4 2006</stp>
        <stp>[FA1_ivyerigx.xlsx]Per Share!R18C36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18" s="5"/>
      </tp>
      <tp>
        <v>2613</v>
        <stp/>
        <stp>##V3_BDHV12</stp>
        <stp>XOM US Equity</stp>
        <stp>CF_DEPR_AMORT</stp>
        <stp>FQ4 2004</stp>
        <stp>FQ4 2004</stp>
        <stp>[FA1_ivyerigx.xlsx]Cash Flow - Standardized!R8C28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8" s="4"/>
      </tp>
      <tp t="s">
        <v>—</v>
        <stp/>
        <stp>##V3_BDHV12</stp>
        <stp>XOM US Equity</stp>
        <stp>BS_OPTIONS_GRANTED</stp>
        <stp>FQ2 2001</stp>
        <stp>FQ2 2001</stp>
        <stp>[FA1_ivyerigx.xlsx]Bal Sheet - Standardized!R58C14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8" s="3"/>
      </tp>
      <tp t="s">
        <v>—</v>
        <stp/>
        <stp>##V3_BDHV12</stp>
        <stp>XOM US Equity</stp>
        <stp>BS_OPTIONS_GRANTED</stp>
        <stp>FQ3 2001</stp>
        <stp>FQ3 2001</stp>
        <stp>[FA1_ivyerigx.xlsx]Bal Sheet - Standardized!R58C15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8" s="3"/>
      </tp>
      <tp>
        <v>20.257400000000001</v>
        <stp/>
        <stp>##V3_BDHV12</stp>
        <stp>XOM US Equity</stp>
        <stp>TANG_BOOK_VAL_PER_SH</stp>
        <stp>FQ1 2007</stp>
        <stp>FQ1 2007</stp>
        <stp>[FA1_ivyerigx.xlsx]Per Share!R27C37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27" s="5"/>
      </tp>
      <tp>
        <v>9.6066000000000003</v>
        <stp/>
        <stp>##V3_BDHV12</stp>
        <stp>XOM US Equity</stp>
        <stp>TANG_BOOK_VAL_PER_SH</stp>
        <stp>FQ2 2000</stp>
        <stp>FQ2 2000</stp>
        <stp>[FA1_ivyerigx.xlsx]Per Share!R27C10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J27" s="5"/>
      </tp>
      <tp>
        <v>12.674200000000001</v>
        <stp/>
        <stp>##V3_BDHV12</stp>
        <stp>XOM US Equity</stp>
        <stp>TANG_BOOK_VAL_PER_SH</stp>
        <stp>FQ3 2003</stp>
        <stp>FQ3 2003</stp>
        <stp>[FA1_ivyerigx.xlsx]Per Share!R27C23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W27" s="5"/>
      </tp>
      <tp>
        <v>19.871500000000001</v>
        <stp/>
        <stp>##V3_BDHV12</stp>
        <stp>XOM US Equity</stp>
        <stp>TANG_BOOK_VAL_PER_SH</stp>
        <stp>FQ4 2006</stp>
        <stp>FQ4 2006</stp>
        <stp>[FA1_ivyerigx.xlsx]Per Share!R27C36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27" s="5"/>
      </tp>
      <tp>
        <v>2209</v>
        <stp/>
        <stp>##V3_BDHV12</stp>
        <stp>XOM US Equity</stp>
        <stp>C&amp;CE_AND_STI_DETAILED</stp>
        <stp>FQ3 1998</stp>
        <stp>FQ3 1998</stp>
        <stp>[FA1_ivyerigx.xlsx]Bal Sheet - Standardized!R7C3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1461</v>
        <stp/>
        <stp>##V3_BDHV12</stp>
        <stp>XOM US Equity</stp>
        <stp>C&amp;CE_AND_STI_DETAILED</stp>
        <stp>FQ4 1998</stp>
        <stp>FQ4 1998</stp>
        <stp>[FA1_ivyerigx.xlsx]Bal Sheet - Standardized!R7C4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D7" s="3"/>
      </tp>
      <tp>
        <v>35.740299999999998</v>
        <stp/>
        <stp>##V3_BDHV12</stp>
        <stp>XOM US Equity</stp>
        <stp>PX_TO_FREE_CASH_FLOW</stp>
        <stp>FQ1 2002</stp>
        <stp>FQ1 2002</stp>
        <stp>[FA1_ivyerigx.xlsx]Cash Flow - Standardized!R50C17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0" s="4"/>
      </tp>
      <tp>
        <v>13.4534</v>
        <stp/>
        <stp>##V3_BDHV12</stp>
        <stp>XOM US Equity</stp>
        <stp>PX_TO_FREE_CASH_FLOW</stp>
        <stp>FQ4 2006</stp>
        <stp>FQ4 2006</stp>
        <stp>[FA1_ivyerigx.xlsx]Cash Flow - Standardized!R50C36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0" s="4"/>
      </tp>
      <tp>
        <v>10.786300000000001</v>
        <stp/>
        <stp>##V3_BDHV12</stp>
        <stp>XOM US Equity</stp>
        <stp>PX_TO_FREE_CASH_FLOW</stp>
        <stp>FQ1 2006</stp>
        <stp>FQ1 2006</stp>
        <stp>[FA1_ivyerigx.xlsx]Cash Flow - Standardized!R50C33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0" s="4"/>
      </tp>
      <tp t="s">
        <v>—</v>
        <stp/>
        <stp>##V3_BDHV12</stp>
        <stp>XOM US Equity</stp>
        <stp>IS_EXPORT_SALES</stp>
        <stp>FQ2 2001</stp>
        <stp>FQ2 2001</stp>
        <stp>[FA1_ivyerigx.xlsx]Income - Adjusted!R55C14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55" s="2"/>
      </tp>
      <tp t="s">
        <v>—</v>
        <stp/>
        <stp>##V3_BDHV12</stp>
        <stp>XOM US Equity</stp>
        <stp>IS_EXPORT_SALES</stp>
        <stp>FQ1 2002</stp>
        <stp>FQ1 2002</stp>
        <stp>[FA1_ivyerigx.xlsx]Income - Adjusted!R55C17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55" s="2"/>
      </tp>
      <tp>
        <v>11905</v>
        <stp/>
        <stp>##V3_BDHV12</stp>
        <stp>XOM US Equity</stp>
        <stp>NI_INCLUDING_MINORITY_INT_RATIO</stp>
        <stp>FQ2 2008</stp>
        <stp>FQ2 2008</stp>
        <stp>[FA1_ivyerigx.xlsx]Income - Adjusted!R22C42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P22" s="2"/>
      </tp>
      <tp>
        <v>2657</v>
        <stp/>
        <stp>##V3_BDHV12</stp>
        <stp>XOM US Equity</stp>
        <stp>NI_INCLUDING_MINORITY_INT_RATIO</stp>
        <stp>FQ2 2002</stp>
        <stp>FQ2 2002</stp>
        <stp>[FA1_ivyerigx.xlsx]Income - Adjusted!R22C18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R22" s="2"/>
      </tp>
      <tp t="s">
        <v>—</v>
        <stp/>
        <stp>##V3_BDHV12</stp>
        <stp>XOM US Equity</stp>
        <stp>IS_EXPORT_SALES</stp>
        <stp>FQ4 2005</stp>
        <stp>FQ4 2005</stp>
        <stp>[FA1_ivyerigx.xlsx]Income - Adjusted!R55C32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55" s="2"/>
      </tp>
      <tp t="s">
        <v>—</v>
        <stp/>
        <stp>##V3_BDHV12</stp>
        <stp>XOM US Equity</stp>
        <stp>IS_EXPORT_SALES</stp>
        <stp>FQ3 2000</stp>
        <stp>FQ3 2000</stp>
        <stp>[FA1_ivyerigx.xlsx]Income - Adjusted!R55C11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55" s="2"/>
      </tp>
      <tp t="s">
        <v>—</v>
        <stp/>
        <stp>##V3_BDHV12</stp>
        <stp>XOM US Equity</stp>
        <stp>IS_EXPORT_SALES</stp>
        <stp>FQ3 2003</stp>
        <stp>FQ3 2003</stp>
        <stp>[FA1_ivyerigx.xlsx]Income - Adjusted!R55C23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55" s="2"/>
      </tp>
      <tp t="s">
        <v>—</v>
        <stp/>
        <stp>##V3_BDHV12</stp>
        <stp>XOM US Equity</stp>
        <stp>IS_EXPORT_SALES</stp>
        <stp>FQ4 2004</stp>
        <stp>FQ4 2004</stp>
        <stp>[FA1_ivyerigx.xlsx]Income - Adjusted!R55C28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55" s="2"/>
      </tp>
      <tp>
        <v>15063</v>
        <stp/>
        <stp>##V3_BDHV12</stp>
        <stp>XOM US Equity</stp>
        <stp>CF_CASH_FROM_OPER</stp>
        <stp>FQ3 2007</stp>
        <stp>FQ3 2007</stp>
        <stp>[FA1_ivyerigx.xlsx]Cash Flow - Standardized!R15C39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M15" s="4"/>
      </tp>
      <tp>
        <v>83</v>
        <stp/>
        <stp>##V3_BDHV12</stp>
        <stp>XOM US Equity</stp>
        <stp>MIN_NONCONTROL_INTEREST_CREDITS</stp>
        <stp>FQ2 2001</stp>
        <stp>FQ2 2001</stp>
        <stp>[FA1_ivyerigx.xlsx]Income - Adjusted!R23C14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N23" s="2"/>
      </tp>
      <tp>
        <v>199</v>
        <stp/>
        <stp>##V3_BDHV12</stp>
        <stp>XOM US Equity</stp>
        <stp>MIN_NONCONTROL_INTEREST_CREDITS</stp>
        <stp>FQ2 2005</stp>
        <stp>FQ2 2005</stp>
        <stp>[FA1_ivyerigx.xlsx]Income - Adjusted!R23C30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D23" s="2"/>
      </tp>
      <tp>
        <v>15</v>
        <stp/>
        <stp>##V3_BDHV12</stp>
        <stp>XOM US Equity</stp>
        <stp>MIN_NONCONTROL_INTEREST_CREDITS</stp>
        <stp>FQ1 2002</stp>
        <stp>FQ1 2002</stp>
        <stp>[FA1_ivyerigx.xlsx]Income - Adjusted!R23C17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Q23" s="2"/>
      </tp>
      <tp>
        <v>182</v>
        <stp/>
        <stp>##V3_BDHV12</stp>
        <stp>XOM US Equity</stp>
        <stp>MIN_NONCONTROL_INTEREST_CREDITS</stp>
        <stp>FQ1 2006</stp>
        <stp>FQ1 2006</stp>
        <stp>[FA1_ivyerigx.xlsx]Income - Adjusted!R23C33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G23" s="2"/>
      </tp>
      <tp>
        <v>10260</v>
        <stp/>
        <stp>##V3_BDHV12</stp>
        <stp>XOM US Equity</stp>
        <stp>EARN_FOR_COMMON</stp>
        <stp>FQ2 2007</stp>
        <stp>FQ2 2007</stp>
        <stp>[FA1_ivyerigx.xlsx]Income - Adjusted!R27C38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L27" s="2"/>
      </tp>
      <tp>
        <v>4624</v>
        <stp/>
        <stp>##V3_BDHV12</stp>
        <stp>XOM US Equity</stp>
        <stp>CF_CASH_FROM_OPER</stp>
        <stp>FQ1 2002</stp>
        <stp>FQ1 2002</stp>
        <stp>[FA1_ivyerigx.xlsx]Cash Flow - Standardized!R15C17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15" s="4"/>
      </tp>
      <tp>
        <v>15767</v>
        <stp/>
        <stp>##V3_BDHV12</stp>
        <stp>XOM US Equity</stp>
        <stp>CF_CASH_FROM_OPER</stp>
        <stp>FQ3 2005</stp>
        <stp>FQ3 2005</stp>
        <stp>[FA1_ivyerigx.xlsx]Cash Flow - Standardized!R15C31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E15" s="4"/>
      </tp>
      <tp>
        <v>4856</v>
        <stp/>
        <stp>##V3_BDHV12</stp>
        <stp>XOM US Equity</stp>
        <stp>EQY_SH_OUT</stp>
        <stp>FQ1 1999</stp>
        <stp>FQ1 1999</stp>
        <stp>[FA1_ivyerigx.xlsx]Stock Value!R13C5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E13" s="6"/>
      </tp>
      <tp>
        <v>14497</v>
        <stp/>
        <stp>##V3_BDHV12</stp>
        <stp>XOM US Equity</stp>
        <stp>CF_CASH_FROM_OPER</stp>
        <stp>FQ3 2006</stp>
        <stp>FQ3 2006</stp>
        <stp>[FA1_ivyerigx.xlsx]Cash Flow - Standardized!R15C35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I15" s="4"/>
      </tp>
      <tp>
        <v>8652</v>
        <stp/>
        <stp>##V3_BDHV12</stp>
        <stp>XOM US Equity</stp>
        <stp>CF_CASH_FROM_OPER</stp>
        <stp>FQ2 2004</stp>
        <stp>FQ2 2004</stp>
        <stp>[FA1_ivyerigx.xlsx]Cash Flow - Standardized!R15C26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Z15" s="4"/>
      </tp>
      <tp>
        <v>11335</v>
        <stp/>
        <stp>##V3_BDHV12</stp>
        <stp>XOM US Equity</stp>
        <stp>CF_CASH_FROM_OPER</stp>
        <stp>FQ4 2007</stp>
        <stp>FQ4 2007</stp>
        <stp>[FA1_ivyerigx.xlsx]Cash Flow - Standardized!R15C40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N15" s="4"/>
      </tp>
      <tp>
        <v>7349</v>
        <stp/>
        <stp>##V3_BDHV12</stp>
        <stp>XOM US Equity</stp>
        <stp>CF_CASH_FROM_OPER</stp>
        <stp>FQ2 2003</stp>
        <stp>FQ2 2003</stp>
        <stp>[FA1_ivyerigx.xlsx]Cash Flow - Standardized!R15C22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15" s="4"/>
      </tp>
      <tp>
        <v>8729</v>
        <stp/>
        <stp>##V3_BDHV12</stp>
        <stp>XOM US Equity</stp>
        <stp>CF_CASH_FROM_OPER</stp>
        <stp>FQ1 2001</stp>
        <stp>FQ1 2001</stp>
        <stp>[FA1_ivyerigx.xlsx]Cash Flow - Standardized!R15C13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15" s="4"/>
      </tp>
      <tp>
        <v>0.4</v>
        <stp/>
        <stp>##V3_BDHV12</stp>
        <stp>XOM US Equity</stp>
        <stp>IS_EARN_BEF_XO_ITEMS_PER_SH</stp>
        <stp>FQ2 2002</stp>
        <stp>FQ2 2002</stp>
        <stp>[FA1_ivyerigx.xlsx]Per Share!R15C18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R15" s="5"/>
      </tp>
      <tp>
        <v>2.25</v>
        <stp/>
        <stp>##V3_BDHV12</stp>
        <stp>XOM US Equity</stp>
        <stp>IS_EARN_BEF_XO_ITEMS_PER_SH</stp>
        <stp>FQ2 2008</stp>
        <stp>FQ2 2008</stp>
        <stp>[FA1_ivyerigx.xlsx]Per Share!R15C42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P15" s="5"/>
      </tp>
      <tp>
        <v>35.156300000000002</v>
        <stp/>
        <stp>##V3_BDHV12</stp>
        <stp>XOM US Equity</stp>
        <stp>PX_OPEN</stp>
        <stp>FQ2 1999</stp>
        <stp>FQ2 1999</stp>
        <stp>[FA1_ivyerigx.xlsx]Stock Value!R8C6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F8" s="6"/>
      </tp>
      <tp>
        <v>1.0235000000000001</v>
        <stp/>
        <stp>##V3_BDHV12</stp>
        <stp>XOM US Equity</stp>
        <stp>FREE_CASH_FLOW_PER_SH</stp>
        <stp>FQ3 2004</stp>
        <stp>FQ3 2004</stp>
        <stp>[FA1_ivyerigx.xlsx]Cash Flow - Standardized!R49C27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49" s="4"/>
      </tp>
      <tp>
        <v>0.87919999999999998</v>
        <stp/>
        <stp>##V3_BDHV12</stp>
        <stp>XOM US Equity</stp>
        <stp>FREE_CASH_FLOW_PER_SH</stp>
        <stp>FQ2 2004</stp>
        <stp>FQ2 2004</stp>
        <stp>[FA1_ivyerigx.xlsx]Cash Flow - Standardized!R49C26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49" s="4"/>
      </tp>
      <tp>
        <v>1.1197999999999999</v>
        <stp/>
        <stp>##V3_BDHV12</stp>
        <stp>XOM US Equity</stp>
        <stp>FREE_CASH_FLOW_PER_SH</stp>
        <stp>FQ1 2004</stp>
        <stp>FQ1 2004</stp>
        <stp>[FA1_ivyerigx.xlsx]Cash Flow - Standardized!R49C25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Y49" s="4"/>
      </tp>
      <tp t="s">
        <v>—</v>
        <stp/>
        <stp>##V3_BDHV12</stp>
        <stp>XOM US Equity</stp>
        <stp>IS_NET_ABNORMAL_ITEMS</stp>
        <stp>FQ1 2000</stp>
        <stp>FQ1 2000</stp>
        <stp>[FA1_ivyerigx.xlsx]Income - Adjusted!R30C9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30" s="2"/>
      </tp>
      <tp>
        <v>1.18</v>
        <stp/>
        <stp>##V3_BDHV12</stp>
        <stp>XOM US Equity</stp>
        <stp>FREE_CASH_FLOW_PER_SH</stp>
        <stp>FQ2 2006</stp>
        <stp>FQ2 2006</stp>
        <stp>[FA1_ivyerigx.xlsx]Cash Flow - Standardized!R49C34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49" s="4"/>
      </tp>
      <tp>
        <v>1.8395999999999999</v>
        <stp/>
        <stp>##V3_BDHV12</stp>
        <stp>XOM US Equity</stp>
        <stp>FREE_CASH_FLOW_PER_SH</stp>
        <stp>FQ3 2006</stp>
        <stp>FQ3 2006</stp>
        <stp>[FA1_ivyerigx.xlsx]Cash Flow - Standardized!R49C35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49" s="4"/>
      </tp>
      <tp t="s">
        <v>—</v>
        <stp/>
        <stp>##V3_BDHV12</stp>
        <stp>XOM US Equity</stp>
        <stp>IS_NET_ABNORMAL_ITEMS</stp>
        <stp>FQ1 1999</stp>
        <stp>FQ1 1999</stp>
        <stp>[FA1_ivyerigx.xlsx]Income - Adjusted!R30C5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E30" s="2"/>
      </tp>
      <tp>
        <v>8.9878999999999998</v>
        <stp/>
        <stp>##V3_BDHV12</stp>
        <stp>XOM US Equity</stp>
        <stp>BOOK_VAL_PER_SH</stp>
        <stp>FQ4 1998</stp>
        <stp>FQ4 1998</stp>
        <stp>[FA1_ivyerigx.xlsx]Per Share!R26C4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26" s="5"/>
      </tp>
      <tp>
        <v>9.0006000000000004</v>
        <stp/>
        <stp>##V3_BDHV12</stp>
        <stp>XOM US Equity</stp>
        <stp>BOOK_VAL_PER_SH</stp>
        <stp>FQ3 1998</stp>
        <stp>FQ3 1998</stp>
        <stp>[FA1_ivyerigx.xlsx]Per Share!R26C3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26" s="5"/>
      </tp>
      <tp t="s">
        <v>—</v>
        <stp/>
        <stp>##V3_BDHV12</stp>
        <stp>XOM US Equity</stp>
        <stp>NUM_OF_EMPLOYEES</stp>
        <stp>FQ3 1998</stp>
        <stp>FQ3 1998</stp>
        <stp>[FA1_ivyerigx.xlsx]Bal Sheet - Standardized!R65C3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C65" s="3"/>
      </tp>
      <tp t="s">
        <v>—</v>
        <stp/>
        <stp>##V3_BDHV12</stp>
        <stp>XOM US Equity</stp>
        <stp>NUM_OF_EMPLOYEES</stp>
        <stp>FQ4 1998</stp>
        <stp>FQ4 1998</stp>
        <stp>[FA1_ivyerigx.xlsx]Bal Sheet - Standardized!R65C4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65" s="3"/>
      </tp>
      <tp>
        <v>7357.4549999999999</v>
        <stp/>
        <stp>##V3_BDHV12</stp>
        <stp>XOM US Equity</stp>
        <stp>CF_FREE_CASH_FLOW_FIRM</stp>
        <stp>FQ1 2004</stp>
        <stp>FQ1 2004</stp>
        <stp>[FA1_ivyerigx.xlsx]Cash Flow - Standardized!R47C25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Y47" s="4"/>
      </tp>
      <tp>
        <v>5750.8252000000002</v>
        <stp/>
        <stp>##V3_BDHV12</stp>
        <stp>XOM US Equity</stp>
        <stp>CF_FREE_CASH_FLOW_FIRM</stp>
        <stp>FQ2 2004</stp>
        <stp>FQ2 2004</stp>
        <stp>[FA1_ivyerigx.xlsx]Cash Flow - Standardized!R47C26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Z47" s="4"/>
      </tp>
      <tp>
        <v>6893.2485999999999</v>
        <stp/>
        <stp>##V3_BDHV12</stp>
        <stp>XOM US Equity</stp>
        <stp>CF_FREE_CASH_FLOW_FIRM</stp>
        <stp>FQ3 2004</stp>
        <stp>FQ3 2004</stp>
        <stp>[FA1_ivyerigx.xlsx]Cash Flow - Standardized!R47C27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A47" s="4"/>
      </tp>
      <tp>
        <v>8033</v>
        <stp/>
        <stp>##V3_BDHV12</stp>
        <stp>XOM US Equity</stp>
        <stp>OTHER_CURRENT_LIABS_DETAILED</stp>
        <stp>FQ4 2006</stp>
        <stp>FQ4 2006</stp>
        <stp>[FA1_ivyerigx.xlsx]Bal Sheet - Standardized!R34C36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J34" s="3"/>
      </tp>
      <tp>
        <v>10946.0358</v>
        <stp/>
        <stp>##V3_BDHV12</stp>
        <stp>XOM US Equity</stp>
        <stp>CF_FREE_CASH_FLOW_FIRM</stp>
        <stp>FQ3 2006</stp>
        <stp>FQ3 2006</stp>
        <stp>[FA1_ivyerigx.xlsx]Cash Flow - Standardized!R47C35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I47" s="4"/>
      </tp>
      <tp>
        <v>7107.5263000000004</v>
        <stp/>
        <stp>##V3_BDHV12</stp>
        <stp>XOM US Equity</stp>
        <stp>CF_FREE_CASH_FLOW_FIRM</stp>
        <stp>FQ2 2006</stp>
        <stp>FQ2 2006</stp>
        <stp>[FA1_ivyerigx.xlsx]Cash Flow - Standardized!R47C34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H47" s="4"/>
      </tp>
      <tp>
        <v>2140</v>
        <stp/>
        <stp>##V3_BDHV12</stp>
        <stp>XOM US Equity</stp>
        <stp>CF_DEPR_AMORT</stp>
        <stp>FQ4 2001</stp>
        <stp>FQ4 2001</stp>
        <stp>[FA1_ivyerigx.xlsx]Cash Flow - Standardized!R8C16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P8" s="4"/>
      </tp>
      <tp>
        <v>1939</v>
        <stp/>
        <stp>##V3_BDHV12</stp>
        <stp>XOM US Equity</stp>
        <stp>CF_DEPR_AMORT</stp>
        <stp>FQ2 2000</stp>
        <stp>FQ2 2000</stp>
        <stp>[FA1_ivyerigx.xlsx]Cash Flow - Standardized!R8C10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8" s="4"/>
      </tp>
      <tp>
        <v>1901</v>
        <stp/>
        <stp>##V3_BDHV12</stp>
        <stp>XOM US Equity</stp>
        <stp>CF_DEPR_AMORT</stp>
        <stp>FQ3 2000</stp>
        <stp>FQ3 2000</stp>
        <stp>[FA1_ivyerigx.xlsx]Cash Flow - Standardized!R8C11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K8" s="4"/>
      </tp>
      <tp>
        <v>1976</v>
        <stp/>
        <stp>##V3_BDHV12</stp>
        <stp>XOM US Equity</stp>
        <stp>CF_DEPR_AMORT</stp>
        <stp>FQ1 2001</stp>
        <stp>FQ1 2001</stp>
        <stp>[FA1_ivyerigx.xlsx]Cash Flow - Standardized!R8C13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M8" s="4"/>
      </tp>
      <tp>
        <v>21748</v>
        <stp/>
        <stp>##V3_BDHV12</stp>
        <stp>XOM US Equity</stp>
        <stp>OTHER_CURRENT_LIABS_DETAILED</stp>
        <stp>FQ4 2005</stp>
        <stp>FQ4 2005</stp>
        <stp>[FA1_ivyerigx.xlsx]Bal Sheet - Standardized!R34C32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F34" s="3"/>
      </tp>
      <tp>
        <v>2162</v>
        <stp/>
        <stp>##V3_BDHV12</stp>
        <stp>XOM US Equity</stp>
        <stp>CF_DEPR_AMORT</stp>
        <stp>FQ4 2000</stp>
        <stp>FQ4 2000</stp>
        <stp>[FA1_ivyerigx.xlsx]Cash Flow - Standardized!R8C12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L8" s="4"/>
      </tp>
      <tp>
        <v>1957</v>
        <stp/>
        <stp>##V3_BDHV12</stp>
        <stp>XOM US Equity</stp>
        <stp>CF_DEPR_AMORT</stp>
        <stp>FQ3 2001</stp>
        <stp>FQ3 2001</stp>
        <stp>[FA1_ivyerigx.xlsx]Cash Flow - Standardized!R8C15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8" s="4"/>
      </tp>
      <tp>
        <v>1871</v>
        <stp/>
        <stp>##V3_BDHV12</stp>
        <stp>XOM US Equity</stp>
        <stp>CF_DEPR_AMORT</stp>
        <stp>FQ2 2001</stp>
        <stp>FQ2 2001</stp>
        <stp>[FA1_ivyerigx.xlsx]Cash Flow - Standardized!R8C14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N8" s="4"/>
      </tp>
      <tp>
        <v>2020</v>
        <stp/>
        <stp>##V3_BDHV12</stp>
        <stp>XOM US Equity</stp>
        <stp>CF_DEPR_AMORT</stp>
        <stp>FQ1 2002</stp>
        <stp>FQ1 2002</stp>
        <stp>[FA1_ivyerigx.xlsx]Cash Flow - Standardized!R8C17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Q8" s="4"/>
      </tp>
      <tp>
        <v>0</v>
        <stp/>
        <stp>##V3_BDHV12</stp>
        <stp>XOM US Equity</stp>
        <stp>BS_OPTIONS_GRANTED</stp>
        <stp>FQ1 2006</stp>
        <stp>FQ1 2006</stp>
        <stp>[FA1_ivyerigx.xlsx]Bal Sheet - Standardized!R58C33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G58" s="3"/>
      </tp>
      <tp>
        <v>0</v>
        <stp/>
        <stp>##V3_BDHV12</stp>
        <stp>XOM US Equity</stp>
        <stp>BS_OPTIONS_GRANTED</stp>
        <stp>FQ4 2006</stp>
        <stp>FQ4 2006</stp>
        <stp>[FA1_ivyerigx.xlsx]Bal Sheet - Standardized!R58C36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J58" s="3"/>
      </tp>
      <tp>
        <v>2020</v>
        <stp/>
        <stp>##V3_BDHV12</stp>
        <stp>XOM US Equity</stp>
        <stp>CF_DEPR_AMORT</stp>
        <stp>FQ2 2002</stp>
        <stp>FQ2 2002</stp>
        <stp>[FA1_ivyerigx.xlsx]Cash Flow - Standardized!R8C18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R8" s="4"/>
      </tp>
      <tp>
        <v>2195</v>
        <stp/>
        <stp>##V3_BDHV12</stp>
        <stp>XOM US Equity</stp>
        <stp>CF_DEPR_AMORT</stp>
        <stp>FQ3 2002</stp>
        <stp>FQ3 2002</stp>
        <stp>[FA1_ivyerigx.xlsx]Cash Flow - Standardized!R8C19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S8" s="4"/>
      </tp>
      <tp>
        <v>1.77</v>
        <stp/>
        <stp>##V3_BDHV12</stp>
        <stp>XOM US Equity</stp>
        <stp>IS_DIL_EPS_BEF_XO</stp>
        <stp>FQ3 2006</stp>
        <stp>FQ3 2006</stp>
        <stp>[FA1_ivyerigx.xlsx]Per Share!R18C35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18" s="5"/>
      </tp>
      <tp>
        <v>0.88</v>
        <stp/>
        <stp>##V3_BDHV12</stp>
        <stp>XOM US Equity</stp>
        <stp>IS_DIL_EPS_BEF_XO</stp>
        <stp>FQ3 2004</stp>
        <stp>FQ3 2004</stp>
        <stp>[FA1_ivyerigx.xlsx]Per Share!R18C27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18" s="5"/>
      </tp>
      <tp>
        <v>0</v>
        <stp/>
        <stp>##V3_BDHV12</stp>
        <stp>XOM US Equity</stp>
        <stp>BS_OPTIONS_GRANTED</stp>
        <stp>FQ1 2002</stp>
        <stp>FQ1 2002</stp>
        <stp>[FA1_ivyerigx.xlsx]Bal Sheet - Standardized!R58C17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Q58" s="3"/>
      </tp>
      <tp>
        <v>19.991900000000001</v>
        <stp/>
        <stp>##V3_BDHV12</stp>
        <stp>XOM US Equity</stp>
        <stp>TANG_BOOK_VAL_PER_SH</stp>
        <stp>FQ3 2006</stp>
        <stp>FQ3 2006</stp>
        <stp>[FA1_ivyerigx.xlsx]Per Share!R27C35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I27" s="5"/>
      </tp>
      <tp>
        <v>14.7942</v>
        <stp/>
        <stp>##V3_BDHV12</stp>
        <stp>XOM US Equity</stp>
        <stp>TANG_BOOK_VAL_PER_SH</stp>
        <stp>FQ3 2004</stp>
        <stp>FQ3 2004</stp>
        <stp>[FA1_ivyerigx.xlsx]Per Share!R27C27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A27" s="5"/>
      </tp>
      <tp>
        <v>16.888300000000001</v>
        <stp/>
        <stp>##V3_BDHV12</stp>
        <stp>XOM US Equity</stp>
        <stp>PX_TO_FREE_CASH_FLOW</stp>
        <stp>FQ3 2001</stp>
        <stp>FQ3 2001</stp>
        <stp>[FA1_ivyerigx.xlsx]Cash Flow - Standardized!R50C15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O50" s="4"/>
      </tp>
      <tp>
        <v>18.0885</v>
        <stp/>
        <stp>##V3_BDHV12</stp>
        <stp>XOM US Equity</stp>
        <stp>PX_TO_FREE_CASH_FLOW</stp>
        <stp>FQ2 2001</stp>
        <stp>FQ2 2001</stp>
        <stp>[FA1_ivyerigx.xlsx]Cash Flow - Standardized!R50C14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N50" s="4"/>
      </tp>
      <tp>
        <v>10.9498</v>
        <stp/>
        <stp>##V3_BDHV12</stp>
        <stp>XOM US Equity</stp>
        <stp>PX_TO_FREE_CASH_FLOW</stp>
        <stp>FQ3 2005</stp>
        <stp>FQ3 2005</stp>
        <stp>[FA1_ivyerigx.xlsx]Cash Flow - Standardized!R50C31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E50" s="4"/>
      </tp>
      <tp>
        <v>11.8263</v>
        <stp/>
        <stp>##V3_BDHV12</stp>
        <stp>XOM US Equity</stp>
        <stp>PX_TO_FREE_CASH_FLOW</stp>
        <stp>FQ2 2005</stp>
        <stp>FQ2 2005</stp>
        <stp>[FA1_ivyerigx.xlsx]Cash Flow - Standardized!R50C30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D50" s="4"/>
      </tp>
      <tp t="s">
        <v>—</v>
        <stp/>
        <stp>##V3_BDHV12</stp>
        <stp>XOM US Equity</stp>
        <stp>IS_EXPORT_SALES</stp>
        <stp>FQ3 2001</stp>
        <stp>FQ3 2001</stp>
        <stp>[FA1_ivyerigx.xlsx]Income - Adjusted!R55C15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O55" s="2"/>
      </tp>
      <tp>
        <v>2716</v>
        <stp/>
        <stp>##V3_BDHV12</stp>
        <stp>XOM US Equity</stp>
        <stp>NI_INCLUDING_MINORITY_INT_RATIO</stp>
        <stp>FQ3 2002</stp>
        <stp>FQ3 2002</stp>
        <stp>[FA1_ivyerigx.xlsx]Income - Adjusted!R22C19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S22" s="2"/>
      </tp>
      <tp t="s">
        <v>—</v>
        <stp/>
        <stp>##V3_BDHV12</stp>
        <stp>XOM US Equity</stp>
        <stp>IS_EXPORT_SALES</stp>
        <stp>FQ2 2003</stp>
        <stp>FQ2 2003</stp>
        <stp>[FA1_ivyerigx.xlsx]Income - Adjusted!R55C22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V55" s="2"/>
      </tp>
      <tp t="s">
        <v>—</v>
        <stp/>
        <stp>##V3_BDHV12</stp>
        <stp>XOM US Equity</stp>
        <stp>IS_EXPORT_SALES</stp>
        <stp>FQ2 2000</stp>
        <stp>FQ2 2000</stp>
        <stp>[FA1_ivyerigx.xlsx]Income - Adjusted!R55C10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J55" s="2"/>
      </tp>
      <tp>
        <v>11318</v>
        <stp/>
        <stp>##V3_BDHV12</stp>
        <stp>XOM US Equity</stp>
        <stp>CF_CASH_FROM_OPER</stp>
        <stp>FQ2 2007</stp>
        <stp>FQ2 2007</stp>
        <stp>[FA1_ivyerigx.xlsx]Cash Flow - Standardized!R15C38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L15" s="4"/>
      </tp>
      <tp>
        <v>125</v>
        <stp/>
        <stp>##V3_BDHV12</stp>
        <stp>XOM US Equity</stp>
        <stp>MIN_NONCONTROL_INTEREST_CREDITS</stp>
        <stp>FQ3 2001</stp>
        <stp>FQ3 2001</stp>
        <stp>[FA1_ivyerigx.xlsx]Income - Adjusted!R23C15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O23" s="2"/>
      </tp>
      <tp>
        <v>174</v>
        <stp/>
        <stp>##V3_BDHV12</stp>
        <stp>XOM US Equity</stp>
        <stp>MIN_NONCONTROL_INTEREST_CREDITS</stp>
        <stp>FQ3 2005</stp>
        <stp>FQ3 2005</stp>
        <stp>[FA1_ivyerigx.xlsx]Income - Adjusted!R23C31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E23" s="2"/>
      </tp>
      <tp>
        <v>9410</v>
        <stp/>
        <stp>##V3_BDHV12</stp>
        <stp>XOM US Equity</stp>
        <stp>EARN_FOR_COMMON</stp>
        <stp>FQ3 2007</stp>
        <stp>FQ3 2007</stp>
        <stp>[FA1_ivyerigx.xlsx]Income - Adjusted!R27C39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M27" s="2"/>
      </tp>
      <tp>
        <v>4862.46</v>
        <stp/>
        <stp>##V3_BDHV12</stp>
        <stp>XOM US Equity</stp>
        <stp>EQY_SH_OUT</stp>
        <stp>FQ4 1998</stp>
        <stp>FQ4 1998</stp>
        <stp>[FA1_ivyerigx.xlsx]Stock Value!R13C4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D13" s="6"/>
      </tp>
      <tp>
        <v>9013</v>
        <stp/>
        <stp>##V3_BDHV12</stp>
        <stp>XOM US Equity</stp>
        <stp>CF_CASH_FROM_OPER</stp>
        <stp>FQ2 2005</stp>
        <stp>FQ2 2005</stp>
        <stp>[FA1_ivyerigx.xlsx]Cash Flow - Standardized!R15C30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D15" s="4"/>
      </tp>
      <tp>
        <v>11296</v>
        <stp/>
        <stp>##V3_BDHV12</stp>
        <stp>XOM US Equity</stp>
        <stp>CF_CASH_FROM_OPER</stp>
        <stp>FQ2 2006</stp>
        <stp>FQ2 2006</stp>
        <stp>[FA1_ivyerigx.xlsx]Cash Flow - Standardized!R15C34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H15" s="4"/>
      </tp>
      <tp>
        <v>9453</v>
        <stp/>
        <stp>##V3_BDHV12</stp>
        <stp>XOM US Equity</stp>
        <stp>CF_CASH_FROM_OPER</stp>
        <stp>FQ3 2004</stp>
        <stp>FQ3 2004</stp>
        <stp>[FA1_ivyerigx.xlsx]Cash Flow - Standardized!R15C27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A15" s="4"/>
      </tp>
      <tp>
        <v>5704</v>
        <stp/>
        <stp>##V3_BDHV12</stp>
        <stp>XOM US Equity</stp>
        <stp>CF_CASH_FROM_OPER</stp>
        <stp>FQ3 2003</stp>
        <stp>FQ3 2003</stp>
        <stp>[FA1_ivyerigx.xlsx]Cash Flow - Standardized!R15C23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W15" s="4"/>
      </tp>
      <tp>
        <v>0.39</v>
        <stp/>
        <stp>##V3_BDHV12</stp>
        <stp>XOM US Equity</stp>
        <stp>IS_EARN_BEF_XO_ITEMS_PER_SH</stp>
        <stp>FQ3 2002</stp>
        <stp>FQ3 2002</stp>
        <stp>[FA1_ivyerigx.xlsx]Per Share!R15C19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S15" s="5"/>
      </tp>
      <tp>
        <v>38.5625</v>
        <stp/>
        <stp>##V3_BDHV12</stp>
        <stp>XOM US Equity</stp>
        <stp>PX_OPEN</stp>
        <stp>FQ3 1999</stp>
        <stp>FQ3 1999</stp>
        <stp>[FA1_ivyerigx.xlsx]Stock Value!R8C7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G8" s="6"/>
      </tp>
      <tp>
        <v>1.9788000000000001</v>
        <stp/>
        <stp>##V3_BDHV12</stp>
        <stp>XOM US Equity</stp>
        <stp>FREE_CASH_FLOW_PER_SH</stp>
        <stp>FQ1 2007</stp>
        <stp>FQ1 2007</stp>
        <stp>[FA1_ivyerigx.xlsx]Cash Flow - Standardized!R49C37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K49" s="4"/>
      </tp>
      <tp>
        <v>15290</v>
        <stp/>
        <stp>##V3_BDHV12</stp>
        <stp>XOM US Equity</stp>
        <stp>OTHER_CURRENT_LIABS_DETAILED</stp>
        <stp>FQ4 2002</stp>
        <stp>FQ4 2002</stp>
        <stp>[FA1_ivyerigx.xlsx]Bal Sheet - Standardized!R34C20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T34" s="3"/>
      </tp>
      <tp>
        <v>1.65</v>
        <stp/>
        <stp>##V3_BDHV12</stp>
        <stp>XOM US Equity</stp>
        <stp>IS_DIL_EPS_CONT_OPS</stp>
        <stp>FQ4 2005</stp>
        <stp>FQ4 2005</stp>
        <stp>[FA1_ivyerigx.xlsx]Income - Adjusted!R41C32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F41" s="2"/>
      </tp>
      <tp>
        <v>2.13</v>
        <stp/>
        <stp>##V3_BDHV12</stp>
        <stp>XOM US Equity</stp>
        <stp>IS_DIL_EPS_CONT_OPS</stp>
        <stp>FQ4 2007</stp>
        <stp>FQ4 2007</stp>
        <stp>[FA1_ivyerigx.xlsx]Income - Adjusted!R41C40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N41" s="2"/>
      </tp>
      <tp>
        <v>0.44</v>
        <stp/>
        <stp>##V3_BDHV12</stp>
        <stp>XOM US Equity</stp>
        <stp>IS_DIL_EPS_CONT_OPS</stp>
        <stp>FQ4 2001</stp>
        <stp>FQ4 2001</stp>
        <stp>[FA1_ivyerigx.xlsx]Income - Adjusted!R41C16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P41" s="2"/>
      </tp>
      <tp>
        <v>0.66800000000000004</v>
        <stp/>
        <stp>##V3_BDHV12</stp>
        <stp>XOM US Equity</stp>
        <stp>IS_DIL_EPS_CONT_OPS</stp>
        <stp>FQ4 2003</stp>
        <stp>FQ4 2003</stp>
        <stp>[FA1_ivyerigx.xlsx]Income - Adjusted!R41C24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X41" s="2"/>
      </tp>
      <tp>
        <v>11240.168600000001</v>
        <stp/>
        <stp>##V3_BDHV12</stp>
        <stp>XOM US Equity</stp>
        <stp>CF_FREE_CASH_FLOW_FIRM</stp>
        <stp>FQ1 2007</stp>
        <stp>FQ1 2007</stp>
        <stp>[FA1_ivyerigx.xlsx]Cash Flow - Standardized!R47C37</stp>
        <stp>Currency=USD</stp>
        <stp>Period=FQ</stp>
        <stp>BEST_FPERIOD_OVERRIDE=FQ</stp>
        <stp>FILING_STATUS=OR</stp>
        <stp>SCALING_FORMAT=MLN</stp>
        <stp>FA_ADJUSTED=GAAP</stp>
        <stp>Sort=A</stp>
        <stp>Dates=H</stp>
        <stp>DateFormat=P</stp>
        <stp>Fill=—</stp>
        <stp>Direction=H</stp>
        <stp>UseDPDF=Y</stp>
        <tr r="AK47" s="4"/>
      </tp>
      <tp>
        <v>18263</v>
        <stp/>
        <stp>##V3_BDHV12</stp>
        <stp>XOM US Equity</stp>
        <stp>OTHER_CURRENT_LIABS_DETAILED</stp>
        <stp>FQ4 2003</stp>
        <stp>FQ4 2003</stp>
        <stp>[FA1_ivyerigx.xlsx]Bal Sheet - Standardized!R34C24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X34" s="3"/>
      </tp>
      <tp>
        <v>1.72</v>
        <stp/>
        <stp>##V3_BDHV12</stp>
        <stp>XOM US Equity</stp>
        <stp>IS_DIL_EPS_BEF_XO</stp>
        <stp>FQ2 2006</stp>
        <stp>FQ2 2006</stp>
        <stp>[FA1_ivyerigx.xlsx]Per Share!R18C34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18" s="5"/>
      </tp>
      <tp>
        <v>0.88</v>
        <stp/>
        <stp>##V3_BDHV12</stp>
        <stp>XOM US Equity</stp>
        <stp>IS_DIL_EPS_BEF_XO</stp>
        <stp>FQ2 2004</stp>
        <stp>FQ2 2004</stp>
        <stp>[FA1_ivyerigx.xlsx]Per Share!R18C26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18" s="5"/>
      </tp>
      <tp>
        <v>0.7</v>
        <stp/>
        <stp>##V3_BDHV12</stp>
        <stp>XOM US Equity</stp>
        <stp>IS_DIL_EPS_BEF_XO</stp>
        <stp>FQ1 2001</stp>
        <stp>FQ1 2001</stp>
        <stp>[FA1_ivyerigx.xlsx]Per Share!R18C13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18" s="5"/>
      </tp>
      <tp>
        <v>0.97</v>
        <stp/>
        <stp>##V3_BDHV12</stp>
        <stp>XOM US Equity</stp>
        <stp>IS_DIL_EPS_BEF_XO</stp>
        <stp>FQ1 2003</stp>
        <stp>FQ1 2003</stp>
        <stp>[FA1_ivyerigx.xlsx]Per Share!R18C21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18" s="5"/>
      </tp>
      <tp>
        <v>0.76</v>
        <stp/>
        <stp>##V3_BDHV12</stp>
        <stp>XOM US Equity</stp>
        <stp>IS_DIL_EPS_BEF_XO</stp>
        <stp>FQ4 2000</stp>
        <stp>FQ4 2000</stp>
        <stp>[FA1_ivyerigx.xlsx]Per Share!R18C12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18" s="5"/>
      </tp>
      <tp>
        <v>0.54</v>
        <stp/>
        <stp>##V3_BDHV12</stp>
        <stp>XOM US Equity</stp>
        <stp>IS_DIL_EPS_BEF_XO</stp>
        <stp>FQ4 2002</stp>
        <stp>FQ4 2002</stp>
        <stp>[FA1_ivyerigx.xlsx]Per Share!R18C20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18" s="5"/>
      </tp>
      <tp>
        <v>-1769</v>
        <stp/>
        <stp>##V3_BDHV12</stp>
        <stp>XOM US Equity</stp>
        <stp>ACQUIS_FXD_&amp;_INTANG_DETAILED</stp>
        <stp>FQ1 2000</stp>
        <stp>FQ1 2000</stp>
        <stp>[FA1_ivyerigx.xlsx]Cash Flow - Standardized!R20C9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I20" s="4"/>
      </tp>
      <tp>
        <v>21515</v>
        <stp/>
        <stp>##V3_BDHV12</stp>
        <stp>XOM US Equity</stp>
        <stp>OTHER_CURRENT_LIABS_DETAILED</stp>
        <stp>FQ4 2004</stp>
        <stp>FQ4 2004</stp>
        <stp>[FA1_ivyerigx.xlsx]Bal Sheet - Standardized!R34C28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B34" s="3"/>
      </tp>
      <tp>
        <v>14661</v>
        <stp/>
        <stp>##V3_BDHV12</stp>
        <stp>XOM US Equity</stp>
        <stp>OTHER_CURRENT_LIABS_DETAILED</stp>
        <stp>FQ2 2008</stp>
        <stp>FQ2 2008</stp>
        <stp>[FA1_ivyerigx.xlsx]Bal Sheet - Standardized!R34C42</stp>
        <stp>Currency=USD</stp>
        <stp>Period=FQ</stp>
        <stp>BEST_FPERIOD_OVERRIDE=FQ</stp>
        <stp>FILING_STATUS=OR</stp>
        <stp>SCALING_FORMAT=MLN</stp>
        <stp>Sort=A</stp>
        <stp>Dates=H</stp>
        <stp>DateFormat=P</stp>
        <stp>Fill=—</stp>
        <stp>Direction=H</stp>
        <stp>UseDPDF=Y</stp>
        <tr r="AP34" s="3"/>
      </tp>
      <tp t="s">
        <v>—</v>
        <stp/>
        <stp>##V3_BDHV12</stp>
        <stp>XOM US Equity</stp>
        <stp>TANG_BOOK_VAL_PER_SH</stp>
        <stp>FQ1 2001</stp>
        <stp>FQ1 2001</stp>
        <stp>[FA1_ivyerigx.xlsx]Per Share!R27C13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M27" s="5"/>
      </tp>
      <tp>
        <v>11.914999999999999</v>
        <stp/>
        <stp>##V3_BDHV12</stp>
        <stp>XOM US Equity</stp>
        <stp>TANG_BOOK_VAL_PER_SH</stp>
        <stp>FQ1 2003</stp>
        <stp>FQ1 2003</stp>
        <stp>[FA1_ivyerigx.xlsx]Per Share!R27C21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U27" s="5"/>
      </tp>
      <tp>
        <v>19.4725</v>
        <stp/>
        <stp>##V3_BDHV12</stp>
        <stp>XOM US Equity</stp>
        <stp>TANG_BOOK_VAL_PER_SH</stp>
        <stp>FQ2 2006</stp>
        <stp>FQ2 2006</stp>
        <stp>[FA1_ivyerigx.xlsx]Per Share!R27C34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AH27" s="5"/>
      </tp>
      <tp>
        <v>14.377800000000001</v>
        <stp/>
        <stp>##V3_BDHV12</stp>
        <stp>XOM US Equity</stp>
        <stp>TANG_BOOK_VAL_PER_SH</stp>
        <stp>FQ2 2004</stp>
        <stp>FQ2 2004</stp>
        <stp>[FA1_ivyerigx.xlsx]Per Share!R27C26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Z27" s="5"/>
      </tp>
      <tp>
        <v>10.2102</v>
        <stp/>
        <stp>##V3_BDHV12</stp>
        <stp>XOM US Equity</stp>
        <stp>TANG_BOOK_VAL_PER_SH</stp>
        <stp>FQ4 2000</stp>
        <stp>FQ4 2000</stp>
        <stp>[FA1_ivyerigx.xlsx]Per Share!R27C12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27" s="5"/>
      </tp>
      <tp>
        <v>11.133900000000001</v>
        <stp/>
        <stp>##V3_BDHV12</stp>
        <stp>XOM US Equity</stp>
        <stp>TANG_BOOK_VAL_PER_SH</stp>
        <stp>FQ4 2002</stp>
        <stp>FQ4 2002</stp>
        <stp>[FA1_ivyerigx.xlsx]Per Share!R27C20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27" s="5"/>
      </tp>
      <tp>
        <v>20.860700000000001</v>
        <stp/>
        <stp>##V3_BDHV12</stp>
        <stp>XOM US Equity</stp>
        <stp>PX_TO_FREE_CASH_FLOW</stp>
        <stp>FQ4 2000</stp>
        <stp>FQ4 2000</stp>
        <stp>[FA1_ivyerigx.xlsx]Cash Flow - Standardized!R50C12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L50" s="4"/>
      </tp>
      <tp>
        <v>23.990500000000001</v>
        <stp/>
        <stp>##V3_BDHV12</stp>
        <stp>XOM US Equity</stp>
        <stp>PX_TO_FREE_CASH_FLOW</stp>
        <stp>FQ4 2002</stp>
        <stp>FQ4 2002</stp>
        <stp>[FA1_ivyerigx.xlsx]Cash Flow - Standardized!R50C20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T50" s="4"/>
      </tp>
      <tp>
        <v>0.6</v>
        <stp/>
        <stp>##V3_BDHV12</stp>
        <stp>XOM US Equity</stp>
        <stp>IS_EARN_BEF_XO_ITEMS_PER_SH</stp>
        <stp>FQ4 1999</stp>
        <stp>FQ4 1999</stp>
        <stp>[FA1_ivyerigx.xlsx]Income - Adjusted!R35C8</stp>
        <stp>Currency=USD</stp>
        <stp>Period=FQ</stp>
        <stp>BEST_FPERIOD_OVERRIDE=FQ</stp>
        <stp>FILING_STATUS=OR</stp>
        <stp>Sort=A</stp>
        <stp>Dates=H</stp>
        <stp>DateFormat=P</stp>
        <stp>Fill=—</stp>
        <stp>Direction=H</stp>
        <stp>UseDPDF=Y</stp>
        <tr r="H3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0</v>
      </c>
      <c r="B6" s="6" t="s">
        <v>88</v>
      </c>
      <c r="C6" s="16">
        <f>_xll.BDH("XOM US Equity","SALES_REV_TURN","FQ3 1998","FQ3 1998","Currency=USD","Period=FQ","BEST_FPERIOD_OVERRIDE=FQ","FILING_STATUS=OR","SCALING_FORMAT=MLN","FA_ADJUSTED=Adjusted","Sort=A","Dates=H","DateFormat=P","Fill=—","Direction=H","UseDPDF=Y")</f>
        <v>24859</v>
      </c>
      <c r="D6" s="16">
        <f>_xll.BDH("XOM US Equity","SALES_REV_TURN","FQ4 1998","FQ4 1998","Currency=USD","Period=FQ","BEST_FPERIOD_OVERRIDE=FQ","FILING_STATUS=OR","SCALING_FORMAT=MLN","FA_ADJUSTED=Adjusted","Sort=A","Dates=H","DateFormat=P","Fill=—","Direction=H","UseDPDF=Y")</f>
        <v>30936</v>
      </c>
      <c r="E6" s="16">
        <f>_xll.BDH("XOM US Equity","SALES_REV_TURN","FQ1 1999","FQ1 1999","Currency=USD","Period=FQ","BEST_FPERIOD_OVERRIDE=FQ","FILING_STATUS=OR","SCALING_FORMAT=MLN","FA_ADJUSTED=Adjusted","Sort=A","Dates=H","DateFormat=P","Fill=—","Direction=H","UseDPDF=Y")</f>
        <v>22982</v>
      </c>
      <c r="F6" s="16">
        <f>_xll.BDH("XOM US Equity","SALES_REV_TURN","FQ2 1999","FQ2 1999","Currency=USD","Period=FQ","BEST_FPERIOD_OVERRIDE=FQ","FILING_STATUS=OR","SCALING_FORMAT=MLN","FA_ADJUSTED=Adjusted","Sort=A","Dates=H","DateFormat=P","Fill=—","Direction=H","UseDPDF=Y")</f>
        <v>25295</v>
      </c>
      <c r="G6" s="16">
        <f>_xll.BDH("XOM US Equity","SALES_REV_TURN","FQ3 1999","FQ3 1999","Currency=USD","Period=FQ","BEST_FPERIOD_OVERRIDE=FQ","FILING_STATUS=OR","SCALING_FORMAT=MLN","FA_ADJUSTED=Adjusted","Sort=A","Dates=H","DateFormat=P","Fill=—","Direction=H","UseDPDF=Y")</f>
        <v>29015</v>
      </c>
      <c r="H6" s="16">
        <f>_xll.BDH("XOM US Equity","SALES_REV_TURN","FQ4 1999","FQ4 1999","Currency=USD","Period=FQ","BEST_FPERIOD_OVERRIDE=FQ","FILING_STATUS=OR","SCALING_FORMAT=MLN","FA_ADJUSTED=Adjusted","Sort=A","Dates=H","DateFormat=P","Fill=—","Direction=H","UseDPDF=Y")</f>
        <v>83591</v>
      </c>
      <c r="I6" s="16">
        <f>_xll.BDH("XOM US Equity","SALES_REV_TURN","FQ1 2000","FQ1 2000","Currency=USD","Period=FQ","BEST_FPERIOD_OVERRIDE=FQ","FILING_STATUS=OR","SCALING_FORMAT=MLN","FA_ADJUSTED=Adjusted","Sort=A","Dates=H","DateFormat=P","Fill=—","Direction=H","UseDPDF=Y")</f>
        <v>47780</v>
      </c>
      <c r="J6" s="16">
        <f>_xll.BDH("XOM US Equity","SALES_REV_TURN","FQ2 2000","FQ2 2000","Currency=USD","Period=FQ","BEST_FPERIOD_OVERRIDE=FQ","FILING_STATUS=OR","SCALING_FORMAT=MLN","FA_ADJUSTED=Adjusted","Sort=A","Dates=H","DateFormat=P","Fill=—","Direction=H","UseDPDF=Y")</f>
        <v>49479</v>
      </c>
      <c r="K6" s="16">
        <f>_xll.BDH("XOM US Equity","SALES_REV_TURN","FQ3 2000","FQ3 2000","Currency=USD","Period=FQ","BEST_FPERIOD_OVERRIDE=FQ","FILING_STATUS=OR","SCALING_FORMAT=MLN","FA_ADJUSTED=Adjusted","Sort=A","Dates=H","DateFormat=P","Fill=—","Direction=H","UseDPDF=Y")</f>
        <v>52178</v>
      </c>
      <c r="L6" s="16">
        <f>_xll.BDH("XOM US Equity","SALES_REV_TURN","FQ4 2000","FQ4 2000","Currency=USD","Period=FQ","BEST_FPERIOD_OVERRIDE=FQ","FILING_STATUS=OR","SCALING_FORMAT=MLN","FA_ADJUSTED=Adjusted","Sort=A","Dates=H","DateFormat=P","Fill=—","Direction=H","UseDPDF=Y")</f>
        <v>56646</v>
      </c>
      <c r="M6" s="16">
        <f>_xll.BDH("XOM US Equity","SALES_REV_TURN","FQ1 2001","FQ1 2001","Currency=USD","Period=FQ","BEST_FPERIOD_OVERRIDE=FQ","FILING_STATUS=OR","SCALING_FORMAT=MLN","FA_ADJUSTED=Adjusted","Sort=A","Dates=H","DateFormat=P","Fill=—","Direction=H","UseDPDF=Y")</f>
        <v>50782</v>
      </c>
      <c r="N6" s="16">
        <f>_xll.BDH("XOM US Equity","SALES_REV_TURN","FQ2 2001","FQ2 2001","Currency=USD","Period=FQ","BEST_FPERIOD_OVERRIDE=FQ","FILING_STATUS=OR","SCALING_FORMAT=MLN","FA_ADJUSTED=Adjusted","Sort=A","Dates=H","DateFormat=P","Fill=—","Direction=H","UseDPDF=Y")</f>
        <v>49875</v>
      </c>
      <c r="O6" s="16">
        <f>_xll.BDH("XOM US Equity","SALES_REV_TURN","FQ3 2001","FQ3 2001","Currency=USD","Period=FQ","BEST_FPERIOD_OVERRIDE=FQ","FILING_STATUS=OR","SCALING_FORMAT=MLN","FA_ADJUSTED=Adjusted","Sort=A","Dates=H","DateFormat=P","Fill=—","Direction=H","UseDPDF=Y")</f>
        <v>45816</v>
      </c>
      <c r="P6" s="16">
        <f>_xll.BDH("XOM US Equity","SALES_REV_TURN","FQ4 2001","FQ4 2001","Currency=USD","Period=FQ","BEST_FPERIOD_OVERRIDE=FQ","FILING_STATUS=OR","SCALING_FORMAT=MLN","FA_ADJUSTED=Adjusted","Sort=A","Dates=H","DateFormat=P","Fill=—","Direction=H","UseDPDF=Y")</f>
        <v>41037</v>
      </c>
      <c r="Q6" s="16">
        <f>_xll.BDH("XOM US Equity","SALES_REV_TURN","FQ1 2002","FQ1 2002","Currency=USD","Period=FQ","BEST_FPERIOD_OVERRIDE=FQ","FILING_STATUS=OR","SCALING_FORMAT=MLN","FA_ADJUSTED=Adjusted","Sort=A","Dates=H","DateFormat=P","Fill=—","Direction=H","UseDPDF=Y")</f>
        <v>37927</v>
      </c>
      <c r="R6" s="16">
        <f>_xll.BDH("XOM US Equity","SALES_REV_TURN","FQ2 2002","FQ2 2002","Currency=USD","Period=FQ","BEST_FPERIOD_OVERRIDE=FQ","FILING_STATUS=OR","SCALING_FORMAT=MLN","FA_ADJUSTED=Adjusted","Sort=A","Dates=H","DateFormat=P","Fill=—","Direction=H","UseDPDF=Y")</f>
        <v>44427</v>
      </c>
      <c r="S6" s="16">
        <f>_xll.BDH("XOM US Equity","SALES_REV_TURN","FQ3 2002","FQ3 2002","Currency=USD","Period=FQ","BEST_FPERIOD_OVERRIDE=FQ","FILING_STATUS=OR","SCALING_FORMAT=MLN","FA_ADJUSTED=Adjusted","Sort=A","Dates=H","DateFormat=P","Fill=—","Direction=H","UseDPDF=Y")</f>
        <v>47495</v>
      </c>
      <c r="T6" s="16">
        <f>_xll.BDH("XOM US Equity","SALES_REV_TURN","FQ4 2002","FQ4 2002","Currency=USD","Period=FQ","BEST_FPERIOD_OVERRIDE=FQ","FILING_STATUS=OR","SCALING_FORMAT=MLN","FA_ADJUSTED=Adjusted","Sort=A","Dates=H","DateFormat=P","Fill=—","Direction=H","UseDPDF=Y")</f>
        <v>56211</v>
      </c>
      <c r="U6" s="16">
        <f>_xll.BDH("XOM US Equity","SALES_REV_TURN","FQ1 2003","FQ1 2003","Currency=USD","Period=FQ","BEST_FPERIOD_OVERRIDE=FQ","FILING_STATUS=OR","SCALING_FORMAT=MLN","FA_ADJUSTED=Adjusted","Sort=A","Dates=H","DateFormat=P","Fill=—","Direction=H","UseDPDF=Y")</f>
        <v>54357</v>
      </c>
      <c r="V6" s="16">
        <f>_xll.BDH("XOM US Equity","SALES_REV_TURN","FQ2 2003","FQ2 2003","Currency=USD","Period=FQ","BEST_FPERIOD_OVERRIDE=FQ","FILING_STATUS=OR","SCALING_FORMAT=MLN","FA_ADJUSTED=Adjusted","Sort=A","Dates=H","DateFormat=P","Fill=—","Direction=H","UseDPDF=Y")</f>
        <v>50271</v>
      </c>
      <c r="W6" s="16">
        <f>_xll.BDH("XOM US Equity","SALES_REV_TURN","FQ3 2003","FQ3 2003","Currency=USD","Period=FQ","BEST_FPERIOD_OVERRIDE=FQ","FILING_STATUS=OR","SCALING_FORMAT=MLN","FA_ADJUSTED=Adjusted","Sort=A","Dates=H","DateFormat=P","Fill=—","Direction=H","UseDPDF=Y")</f>
        <v>52860</v>
      </c>
      <c r="X6" s="16">
        <f>_xll.BDH("XOM US Equity","SALES_REV_TURN","FQ4 2003","FQ4 2003","Currency=USD","Period=FQ","BEST_FPERIOD_OVERRIDE=FQ","FILING_STATUS=OR","SCALING_FORMAT=MLN","FA_ADJUSTED=Adjusted","Sort=A","Dates=H","DateFormat=P","Fill=—","Direction=H","UseDPDF=Y")</f>
        <v>55711</v>
      </c>
      <c r="Y6" s="16">
        <f>_xll.BDH("XOM US Equity","SALES_REV_TURN","FQ1 2004","FQ1 2004","Currency=USD","Period=FQ","BEST_FPERIOD_OVERRIDE=FQ","FILING_STATUS=OR","SCALING_FORMAT=MLN","FA_ADJUSTED=Adjusted","Sort=A","Dates=H","DateFormat=P","Fill=—","Direction=H","UseDPDF=Y")</f>
        <v>59644</v>
      </c>
      <c r="Z6" s="16">
        <f>_xll.BDH("XOM US Equity","SALES_REV_TURN","FQ2 2004","FQ2 2004","Currency=USD","Period=FQ","BEST_FPERIOD_OVERRIDE=FQ","FILING_STATUS=OR","SCALING_FORMAT=MLN","FA_ADJUSTED=Adjusted","Sort=A","Dates=H","DateFormat=P","Fill=—","Direction=H","UseDPDF=Y")</f>
        <v>62706</v>
      </c>
      <c r="AA6" s="16">
        <f>_xll.BDH("XOM US Equity","SALES_REV_TURN","FQ3 2004","FQ3 2004","Currency=USD","Period=FQ","BEST_FPERIOD_OVERRIDE=FQ","FILING_STATUS=OR","SCALING_FORMAT=MLN","FA_ADJUSTED=Adjusted","Sort=A","Dates=H","DateFormat=P","Fill=—","Direction=H","UseDPDF=Y")</f>
        <v>67809</v>
      </c>
      <c r="AB6" s="16">
        <f>_xll.BDH("XOM US Equity","SALES_REV_TURN","FQ4 2004","FQ4 2004","Currency=USD","Period=FQ","BEST_FPERIOD_OVERRIDE=FQ","FILING_STATUS=OR","SCALING_FORMAT=MLN","FA_ADJUSTED=Adjusted","Sort=A","Dates=H","DateFormat=P","Fill=—","Direction=H","UseDPDF=Y")</f>
        <v>73830</v>
      </c>
      <c r="AC6" s="16">
        <f>_xll.BDH("XOM US Equity","SALES_REV_TURN","FQ1 2005","FQ1 2005","Currency=USD","Period=FQ","BEST_FPERIOD_OVERRIDE=FQ","FILING_STATUS=OR","SCALING_FORMAT=MLN","FA_ADJUSTED=Adjusted","Sort=A","Dates=H","DateFormat=P","Fill=—","Direction=H","UseDPDF=Y")</f>
        <v>72237</v>
      </c>
      <c r="AD6" s="16">
        <f>_xll.BDH("XOM US Equity","SALES_REV_TURN","FQ2 2005","FQ2 2005","Currency=USD","Period=FQ","BEST_FPERIOD_OVERRIDE=FQ","FILING_STATUS=OR","SCALING_FORMAT=MLN","FA_ADJUSTED=Adjusted","Sort=A","Dates=H","DateFormat=P","Fill=—","Direction=H","UseDPDF=Y")</f>
        <v>79107</v>
      </c>
      <c r="AE6" s="16">
        <f>_xll.BDH("XOM US Equity","SALES_REV_TURN","FQ3 2005","FQ3 2005","Currency=USD","Period=FQ","BEST_FPERIOD_OVERRIDE=FQ","FILING_STATUS=OR","SCALING_FORMAT=MLN","FA_ADJUSTED=Adjusted","Sort=A","Dates=H","DateFormat=P","Fill=—","Direction=H","UseDPDF=Y")</f>
        <v>88571</v>
      </c>
      <c r="AF6" s="16">
        <f>_xll.BDH("XOM US Equity","SALES_REV_TURN","FQ4 2005","FQ4 2005","Currency=USD","Period=FQ","BEST_FPERIOD_OVERRIDE=FQ","FILING_STATUS=OR","SCALING_FORMAT=MLN","FA_ADJUSTED=Adjusted","Sort=A","Dates=H","DateFormat=P","Fill=—","Direction=H","UseDPDF=Y")</f>
        <v>88298</v>
      </c>
      <c r="AG6" s="16">
        <f>_xll.BDH("XOM US Equity","SALES_REV_TURN","FQ1 2006","FQ1 2006","Currency=USD","Period=FQ","BEST_FPERIOD_OVERRIDE=FQ","FILING_STATUS=OR","SCALING_FORMAT=MLN","FA_ADJUSTED=Adjusted","Sort=A","Dates=H","DateFormat=P","Fill=—","Direction=H","UseDPDF=Y")</f>
        <v>78653</v>
      </c>
      <c r="AH6" s="16">
        <f>_xll.BDH("XOM US Equity","SALES_REV_TURN","FQ2 2006","FQ2 2006","Currency=USD","Period=FQ","BEST_FPERIOD_OVERRIDE=FQ","FILING_STATUS=OR","SCALING_FORMAT=MLN","FA_ADJUSTED=Adjusted","Sort=A","Dates=H","DateFormat=P","Fill=—","Direction=H","UseDPDF=Y")</f>
        <v>87813</v>
      </c>
      <c r="AI6" s="16">
        <f>_xll.BDH("XOM US Equity","SALES_REV_TURN","FQ3 2006","FQ3 2006","Currency=USD","Period=FQ","BEST_FPERIOD_OVERRIDE=FQ","FILING_STATUS=OR","SCALING_FORMAT=MLN","FA_ADJUSTED=Adjusted","Sort=A","Dates=H","DateFormat=P","Fill=—","Direction=H","UseDPDF=Y")</f>
        <v>88504</v>
      </c>
      <c r="AJ6" s="16">
        <f>_xll.BDH("XOM US Equity","SALES_REV_TURN","FQ4 2006","FQ4 2006","Currency=USD","Period=FQ","BEST_FPERIOD_OVERRIDE=FQ","FILING_STATUS=OR","SCALING_FORMAT=MLN","FA_ADJUSTED=Adjusted","Sort=A","Dates=H","DateFormat=P","Fill=—","Direction=H","UseDPDF=Y")</f>
        <v>80116</v>
      </c>
      <c r="AK6" s="16">
        <f>_xll.BDH("XOM US Equity","SALES_REV_TURN","FQ1 2007","FQ1 2007","Currency=USD","Period=FQ","BEST_FPERIOD_OVERRIDE=FQ","FILING_STATUS=OR","SCALING_FORMAT=MLN","FA_ADJUSTED=Adjusted","Sort=A","Dates=H","DateFormat=P","Fill=—","Direction=H","UseDPDF=Y")</f>
        <v>76890</v>
      </c>
      <c r="AL6" s="16">
        <f>_xll.BDH("XOM US Equity","SALES_REV_TURN","FQ2 2007","FQ2 2007","Currency=USD","Period=FQ","BEST_FPERIOD_OVERRIDE=FQ","FILING_STATUS=OR","SCALING_FORMAT=MLN","FA_ADJUSTED=Adjusted","Sort=A","Dates=H","DateFormat=P","Fill=—","Direction=H","UseDPDF=Y")</f>
        <v>87249</v>
      </c>
      <c r="AM6" s="16">
        <f>_xll.BDH("XOM US Equity","SALES_REV_TURN","FQ3 2007","FQ3 2007","Currency=USD","Period=FQ","BEST_FPERIOD_OVERRIDE=FQ","FILING_STATUS=OR","SCALING_FORMAT=MLN","FA_ADJUSTED=Adjusted","Sort=A","Dates=H","DateFormat=P","Fill=—","Direction=H","UseDPDF=Y")</f>
        <v>91160</v>
      </c>
      <c r="AN6" s="16">
        <f>_xll.BDH("XOM US Equity","SALES_REV_TURN","FQ4 2007","FQ4 2007","Currency=USD","Period=FQ","BEST_FPERIOD_OVERRIDE=FQ","FILING_STATUS=OR","SCALING_FORMAT=MLN","FA_ADJUSTED=Adjusted","Sort=A","Dates=H","DateFormat=P","Fill=—","Direction=H","UseDPDF=Y")</f>
        <v>103301</v>
      </c>
      <c r="AO6" s="16">
        <f>_xll.BDH("XOM US Equity","SALES_REV_TURN","FQ1 2008","FQ1 2008","Currency=USD","Period=FQ","BEST_FPERIOD_OVERRIDE=FQ","FILING_STATUS=OR","SCALING_FORMAT=MLN","FA_ADJUSTED=Adjusted","Sort=A","Dates=H","DateFormat=P","Fill=—","Direction=H","UseDPDF=Y")</f>
        <v>104791</v>
      </c>
      <c r="AP6" s="16">
        <f>_xll.BDH("XOM US Equity","SALES_REV_TURN","FQ2 2008","FQ2 2008","Currency=USD","Period=FQ","BEST_FPERIOD_OVERRIDE=FQ","FILING_STATUS=OR","SCALING_FORMAT=MLN","FA_ADJUSTED=Adjusted","Sort=A","Dates=H","DateFormat=P","Fill=—","Direction=H","UseDPDF=Y")</f>
        <v>124238</v>
      </c>
    </row>
    <row r="7" spans="1:42" x14ac:dyDescent="0.25">
      <c r="A7" s="10" t="s">
        <v>89</v>
      </c>
      <c r="B7" s="10" t="s">
        <v>90</v>
      </c>
      <c r="C7" s="13">
        <f>_xll.BDH("XOM US Equity","IS_COGS_TO_FE_AND_PP_AND_G","FQ3 1998","FQ3 1998","Currency=USD","Period=FQ","BEST_FPERIOD_OVERRIDE=FQ","FILING_STATUS=OR","SCALING_FORMAT=MLN","FA_ADJUSTED=Adjusted","Sort=A","Dates=H","DateFormat=P","Fill=—","Direction=H","UseDPDF=Y")</f>
        <v>15184</v>
      </c>
      <c r="D7" s="13" t="str">
        <f>_xll.BDH("XOM US Equity","IS_COGS_TO_FE_AND_PP_AND_G","FQ4 1998","FQ4 1998","Currency=USD","Period=FQ","BEST_FPERIOD_OVERRIDE=FQ","FILING_STATUS=OR","SCALING_FORMAT=MLN","FA_ADJUSTED=Adjusted","Sort=A","Dates=H","DateFormat=P","Fill=—","Direction=H","UseDPDF=Y")</f>
        <v>—</v>
      </c>
      <c r="E7" s="13">
        <f>_xll.BDH("XOM US Equity","IS_COGS_TO_FE_AND_PP_AND_G","FQ1 1999","FQ1 1999","Currency=USD","Period=FQ","BEST_FPERIOD_OVERRIDE=FQ","FILING_STATUS=OR","SCALING_FORMAT=MLN","FA_ADJUSTED=Adjusted","Sort=A","Dates=H","DateFormat=P","Fill=—","Direction=H","UseDPDF=Y")</f>
        <v>14462</v>
      </c>
      <c r="F7" s="13">
        <f>_xll.BDH("XOM US Equity","IS_COGS_TO_FE_AND_PP_AND_G","FQ2 1999","FQ2 1999","Currency=USD","Period=FQ","BEST_FPERIOD_OVERRIDE=FQ","FILING_STATUS=OR","SCALING_FORMAT=MLN","FA_ADJUSTED=Adjusted","Sort=A","Dates=H","DateFormat=P","Fill=—","Direction=H","UseDPDF=Y")</f>
        <v>16076</v>
      </c>
      <c r="G7" s="13">
        <f>_xll.BDH("XOM US Equity","IS_COGS_TO_FE_AND_PP_AND_G","FQ3 1999","FQ3 1999","Currency=USD","Period=FQ","BEST_FPERIOD_OVERRIDE=FQ","FILING_STATUS=OR","SCALING_FORMAT=MLN","FA_ADJUSTED=Adjusted","Sort=A","Dates=H","DateFormat=P","Fill=—","Direction=H","UseDPDF=Y")</f>
        <v>19271</v>
      </c>
      <c r="H7" s="13">
        <f>_xll.BDH("XOM US Equity","IS_COGS_TO_FE_AND_PP_AND_G","FQ4 1999","FQ4 1999","Currency=USD","Period=FQ","BEST_FPERIOD_OVERRIDE=FQ","FILING_STATUS=OR","SCALING_FORMAT=MLN","FA_ADJUSTED=Adjusted","Sort=A","Dates=H","DateFormat=P","Fill=—","Direction=H","UseDPDF=Y")</f>
        <v>52312</v>
      </c>
      <c r="I7" s="13">
        <f>_xll.BDH("XOM US Equity","IS_COGS_TO_FE_AND_PP_AND_G","FQ1 2000","FQ1 2000","Currency=USD","Period=FQ","BEST_FPERIOD_OVERRIDE=FQ","FILING_STATUS=OR","SCALING_FORMAT=MLN","FA_ADJUSTED=Adjusted","Sort=A","Dates=H","DateFormat=P","Fill=—","Direction=H","UseDPDF=Y")</f>
        <v>31377</v>
      </c>
      <c r="J7" s="13">
        <f>_xll.BDH("XOM US Equity","IS_COGS_TO_FE_AND_PP_AND_G","FQ2 2000","FQ2 2000","Currency=USD","Period=FQ","BEST_FPERIOD_OVERRIDE=FQ","FILING_STATUS=OR","SCALING_FORMAT=MLN","FA_ADJUSTED=Adjusted","Sort=A","Dates=H","DateFormat=P","Fill=—","Direction=H","UseDPDF=Y")</f>
        <v>32735</v>
      </c>
      <c r="K7" s="13">
        <f>_xll.BDH("XOM US Equity","IS_COGS_TO_FE_AND_PP_AND_G","FQ3 2000","FQ3 2000","Currency=USD","Period=FQ","BEST_FPERIOD_OVERRIDE=FQ","FILING_STATUS=OR","SCALING_FORMAT=MLN","FA_ADJUSTED=Adjusted","Sort=A","Dates=H","DateFormat=P","Fill=—","Direction=H","UseDPDF=Y")</f>
        <v>33877</v>
      </c>
      <c r="L7" s="13">
        <f>_xll.BDH("XOM US Equity","IS_COGS_TO_FE_AND_PP_AND_G","FQ4 2000","FQ4 2000","Currency=USD","Period=FQ","BEST_FPERIOD_OVERRIDE=FQ","FILING_STATUS=OR","SCALING_FORMAT=MLN","FA_ADJUSTED=Adjusted","Sort=A","Dates=H","DateFormat=P","Fill=—","Direction=H","UseDPDF=Y")</f>
        <v>37227</v>
      </c>
      <c r="M7" s="13">
        <f>_xll.BDH("XOM US Equity","IS_COGS_TO_FE_AND_PP_AND_G","FQ1 2001","FQ1 2001","Currency=USD","Period=FQ","BEST_FPERIOD_OVERRIDE=FQ","FILING_STATUS=OR","SCALING_FORMAT=MLN","FA_ADJUSTED=Adjusted","Sort=A","Dates=H","DateFormat=P","Fill=—","Direction=H","UseDPDF=Y")</f>
        <v>31843</v>
      </c>
      <c r="N7" s="13">
        <f>_xll.BDH("XOM US Equity","IS_COGS_TO_FE_AND_PP_AND_G","FQ2 2001","FQ2 2001","Currency=USD","Period=FQ","BEST_FPERIOD_OVERRIDE=FQ","FILING_STATUS=OR","SCALING_FORMAT=MLN","FA_ADJUSTED=Adjusted","Sort=A","Dates=H","DateFormat=P","Fill=—","Direction=H","UseDPDF=Y")</f>
        <v>32228</v>
      </c>
      <c r="O7" s="13">
        <f>_xll.BDH("XOM US Equity","IS_COGS_TO_FE_AND_PP_AND_G","FQ3 2001","FQ3 2001","Currency=USD","Period=FQ","BEST_FPERIOD_OVERRIDE=FQ","FILING_STATUS=OR","SCALING_FORMAT=MLN","FA_ADJUSTED=Adjusted","Sort=A","Dates=H","DateFormat=P","Fill=—","Direction=H","UseDPDF=Y")</f>
        <v>37697</v>
      </c>
      <c r="P7" s="13">
        <f>_xll.BDH("XOM US Equity","IS_COGS_TO_FE_AND_PP_AND_G","FQ4 2001","FQ4 2001","Currency=USD","Period=FQ","BEST_FPERIOD_OVERRIDE=FQ","FILING_STATUS=OR","SCALING_FORMAT=MLN","FA_ADJUSTED=Adjusted","Sort=A","Dates=H","DateFormat=P","Fill=—","Direction=H","UseDPDF=Y")</f>
        <v>33759</v>
      </c>
      <c r="Q7" s="13">
        <f>_xll.BDH("XOM US Equity","IS_COGS_TO_FE_AND_PP_AND_G","FQ1 2002","FQ1 2002","Currency=USD","Period=FQ","BEST_FPERIOD_OVERRIDE=FQ","FILING_STATUS=OR","SCALING_FORMAT=MLN","FA_ADJUSTED=Adjusted","Sort=A","Dates=H","DateFormat=P","Fill=—","Direction=H","UseDPDF=Y")</f>
        <v>23891</v>
      </c>
      <c r="R7" s="13">
        <f>_xll.BDH("XOM US Equity","IS_COGS_TO_FE_AND_PP_AND_G","FQ2 2002","FQ2 2002","Currency=USD","Period=FQ","BEST_FPERIOD_OVERRIDE=FQ","FILING_STATUS=OR","SCALING_FORMAT=MLN","FA_ADJUSTED=Adjusted","Sort=A","Dates=H","DateFormat=P","Fill=—","Direction=H","UseDPDF=Y")</f>
        <v>28926</v>
      </c>
      <c r="S7" s="13">
        <f>_xll.BDH("XOM US Equity","IS_COGS_TO_FE_AND_PP_AND_G","FQ3 2002","FQ3 2002","Currency=USD","Period=FQ","BEST_FPERIOD_OVERRIDE=FQ","FILING_STATUS=OR","SCALING_FORMAT=MLN","FA_ADJUSTED=Adjusted","Sort=A","Dates=H","DateFormat=P","Fill=—","Direction=H","UseDPDF=Y")</f>
        <v>32268</v>
      </c>
      <c r="T7" s="13">
        <f>_xll.BDH("XOM US Equity","IS_COGS_TO_FE_AND_PP_AND_G","FQ4 2002","FQ4 2002","Currency=USD","Period=FQ","BEST_FPERIOD_OVERRIDE=FQ","FILING_STATUS=OR","SCALING_FORMAT=MLN","FA_ADJUSTED=Adjusted","Sort=A","Dates=H","DateFormat=P","Fill=—","Direction=H","UseDPDF=Y")</f>
        <v>39108</v>
      </c>
      <c r="U7" s="13">
        <f>_xll.BDH("XOM US Equity","IS_COGS_TO_FE_AND_PP_AND_G","FQ1 2003","FQ1 2003","Currency=USD","Period=FQ","BEST_FPERIOD_OVERRIDE=FQ","FILING_STATUS=OR","SCALING_FORMAT=MLN","FA_ADJUSTED=Adjusted","Sort=A","Dates=H","DateFormat=P","Fill=—","Direction=H","UseDPDF=Y")</f>
        <v>35600</v>
      </c>
      <c r="V7" s="13">
        <f>_xll.BDH("XOM US Equity","IS_COGS_TO_FE_AND_PP_AND_G","FQ2 2003","FQ2 2003","Currency=USD","Period=FQ","BEST_FPERIOD_OVERRIDE=FQ","FILING_STATUS=OR","SCALING_FORMAT=MLN","FA_ADJUSTED=Adjusted","Sort=A","Dates=H","DateFormat=P","Fill=—","Direction=H","UseDPDF=Y")</f>
        <v>31716</v>
      </c>
      <c r="W7" s="13">
        <f>_xll.BDH("XOM US Equity","IS_COGS_TO_FE_AND_PP_AND_G","FQ3 2003","FQ3 2003","Currency=USD","Period=FQ","BEST_FPERIOD_OVERRIDE=FQ","FILING_STATUS=OR","SCALING_FORMAT=MLN","FA_ADJUSTED=Adjusted","Sort=A","Dates=H","DateFormat=P","Fill=—","Direction=H","UseDPDF=Y")</f>
        <v>34753</v>
      </c>
      <c r="X7" s="13">
        <f>_xll.BDH("XOM US Equity","IS_COGS_TO_FE_AND_PP_AND_G","FQ4 2003","FQ4 2003","Currency=USD","Period=FQ","BEST_FPERIOD_OVERRIDE=FQ","FILING_STATUS=OR","SCALING_FORMAT=MLN","FA_ADJUSTED=Adjusted","Sort=A","Dates=H","DateFormat=P","Fill=—","Direction=H","UseDPDF=Y")</f>
        <v>35896</v>
      </c>
      <c r="Y7" s="13">
        <f>_xll.BDH("XOM US Equity","IS_COGS_TO_FE_AND_PP_AND_G","FQ1 2004","FQ1 2004","Currency=USD","Period=FQ","BEST_FPERIOD_OVERRIDE=FQ","FILING_STATUS=OR","SCALING_FORMAT=MLN","FA_ADJUSTED=Adjusted","Sort=A","Dates=H","DateFormat=P","Fill=—","Direction=H","UseDPDF=Y")</f>
        <v>38441</v>
      </c>
      <c r="Z7" s="13">
        <f>_xll.BDH("XOM US Equity","IS_COGS_TO_FE_AND_PP_AND_G","FQ2 2004","FQ2 2004","Currency=USD","Period=FQ","BEST_FPERIOD_OVERRIDE=FQ","FILING_STATUS=OR","SCALING_FORMAT=MLN","FA_ADJUSTED=Adjusted","Sort=A","Dates=H","DateFormat=P","Fill=—","Direction=H","UseDPDF=Y")</f>
        <v>41018</v>
      </c>
      <c r="AA7" s="13">
        <f>_xll.BDH("XOM US Equity","IS_COGS_TO_FE_AND_PP_AND_G","FQ3 2004","FQ3 2004","Currency=USD","Period=FQ","BEST_FPERIOD_OVERRIDE=FQ","FILING_STATUS=OR","SCALING_FORMAT=MLN","FA_ADJUSTED=Adjusted","Sort=A","Dates=H","DateFormat=P","Fill=—","Direction=H","UseDPDF=Y")</f>
        <v>45199</v>
      </c>
      <c r="AB7" s="13">
        <f>_xll.BDH("XOM US Equity","IS_COGS_TO_FE_AND_PP_AND_G","FQ4 2004","FQ4 2004","Currency=USD","Period=FQ","BEST_FPERIOD_OVERRIDE=FQ","FILING_STATUS=OR","SCALING_FORMAT=MLN","FA_ADJUSTED=Adjusted","Sort=A","Dates=H","DateFormat=P","Fill=—","Direction=H","UseDPDF=Y")</f>
        <v>47558</v>
      </c>
      <c r="AC7" s="13">
        <f>_xll.BDH("XOM US Equity","IS_COGS_TO_FE_AND_PP_AND_G","FQ1 2005","FQ1 2005","Currency=USD","Period=FQ","BEST_FPERIOD_OVERRIDE=FQ","FILING_STATUS=OR","SCALING_FORMAT=MLN","FA_ADJUSTED=Adjusted","Sort=A","Dates=H","DateFormat=P","Fill=—","Direction=H","UseDPDF=Y")</f>
        <v>58135</v>
      </c>
      <c r="AD7" s="13">
        <f>_xll.BDH("XOM US Equity","IS_COGS_TO_FE_AND_PP_AND_G","FQ2 2005","FQ2 2005","Currency=USD","Period=FQ","BEST_FPERIOD_OVERRIDE=FQ","FILING_STATUS=OR","SCALING_FORMAT=MLN","FA_ADJUSTED=Adjusted","Sort=A","Dates=H","DateFormat=P","Fill=—","Direction=H","UseDPDF=Y")</f>
        <v>64129</v>
      </c>
      <c r="AE7" s="13">
        <f>_xll.BDH("XOM US Equity","IS_COGS_TO_FE_AND_PP_AND_G","FQ3 2005","FQ3 2005","Currency=USD","Period=FQ","BEST_FPERIOD_OVERRIDE=FQ","FILING_STATUS=OR","SCALING_FORMAT=MLN","FA_ADJUSTED=Adjusted","Sort=A","Dates=H","DateFormat=P","Fill=—","Direction=H","UseDPDF=Y")</f>
        <v>72245</v>
      </c>
      <c r="AF7" s="13">
        <f>_xll.BDH("XOM US Equity","IS_COGS_TO_FE_AND_PP_AND_G","FQ4 2005","FQ4 2005","Currency=USD","Period=FQ","BEST_FPERIOD_OVERRIDE=FQ","FILING_STATUS=OR","SCALING_FORMAT=MLN","FA_ADJUSTED=Adjusted","Sort=A","Dates=H","DateFormat=P","Fill=—","Direction=H","UseDPDF=Y")</f>
        <v>59286</v>
      </c>
      <c r="AG7" s="13">
        <f>_xll.BDH("XOM US Equity","IS_COGS_TO_FE_AND_PP_AND_G","FQ1 2006","FQ1 2006","Currency=USD","Period=FQ","BEST_FPERIOD_OVERRIDE=FQ","FILING_STATUS=OR","SCALING_FORMAT=MLN","FA_ADJUSTED=Adjusted","Sort=A","Dates=H","DateFormat=P","Fill=—","Direction=H","UseDPDF=Y")</f>
        <v>61762</v>
      </c>
      <c r="AH7" s="13">
        <f>_xll.BDH("XOM US Equity","IS_COGS_TO_FE_AND_PP_AND_G","FQ2 2006","FQ2 2006","Currency=USD","Period=FQ","BEST_FPERIOD_OVERRIDE=FQ","FILING_STATUS=OR","SCALING_FORMAT=MLN","FA_ADJUSTED=Adjusted","Sort=A","Dates=H","DateFormat=P","Fill=—","Direction=H","UseDPDF=Y")</f>
        <v>68526</v>
      </c>
      <c r="AI7" s="13">
        <f>_xll.BDH("XOM US Equity","IS_COGS_TO_FE_AND_PP_AND_G","FQ3 2006","FQ3 2006","Currency=USD","Period=FQ","BEST_FPERIOD_OVERRIDE=FQ","FILING_STATUS=OR","SCALING_FORMAT=MLN","FA_ADJUSTED=Adjusted","Sort=A","Dates=H","DateFormat=P","Fill=—","Direction=H","UseDPDF=Y")</f>
        <v>69314</v>
      </c>
      <c r="AJ7" s="13">
        <f>_xll.BDH("XOM US Equity","IS_COGS_TO_FE_AND_PP_AND_G","FQ4 2006","FQ4 2006","Currency=USD","Period=FQ","BEST_FPERIOD_OVERRIDE=FQ","FILING_STATUS=OR","SCALING_FORMAT=MLN","FA_ADJUSTED=Adjusted","Sort=A","Dates=H","DateFormat=P","Fill=—","Direction=H","UseDPDF=Y")</f>
        <v>63091</v>
      </c>
      <c r="AK7" s="13">
        <f>_xll.BDH("XOM US Equity","IS_COGS_TO_FE_AND_PP_AND_G","FQ1 2007","FQ1 2007","Currency=USD","Period=FQ","BEST_FPERIOD_OVERRIDE=FQ","FILING_STATUS=OR","SCALING_FORMAT=MLN","FA_ADJUSTED=Adjusted","Sort=A","Dates=H","DateFormat=P","Fill=—","Direction=H","UseDPDF=Y")</f>
        <v>59858</v>
      </c>
      <c r="AL7" s="13">
        <f>_xll.BDH("XOM US Equity","IS_COGS_TO_FE_AND_PP_AND_G","FQ2 2007","FQ2 2007","Currency=USD","Period=FQ","BEST_FPERIOD_OVERRIDE=FQ","FILING_STATUS=OR","SCALING_FORMAT=MLN","FA_ADJUSTED=Adjusted","Sort=A","Dates=H","DateFormat=P","Fill=—","Direction=H","UseDPDF=Y")</f>
        <v>68187</v>
      </c>
      <c r="AM7" s="13">
        <f>_xll.BDH("XOM US Equity","IS_COGS_TO_FE_AND_PP_AND_G","FQ3 2007","FQ3 2007","Currency=USD","Period=FQ","BEST_FPERIOD_OVERRIDE=FQ","FILING_STATUS=OR","SCALING_FORMAT=MLN","FA_ADJUSTED=Adjusted","Sort=A","Dates=H","DateFormat=P","Fill=—","Direction=H","UseDPDF=Y")</f>
        <v>73245</v>
      </c>
      <c r="AN7" s="13">
        <f>_xll.BDH("XOM US Equity","IS_COGS_TO_FE_AND_PP_AND_G","FQ4 2007","FQ4 2007","Currency=USD","Period=FQ","BEST_FPERIOD_OVERRIDE=FQ","FILING_STATUS=OR","SCALING_FORMAT=MLN","FA_ADJUSTED=Adjusted","Sort=A","Dates=H","DateFormat=P","Fill=—","Direction=H","UseDPDF=Y")</f>
        <v>83296</v>
      </c>
      <c r="AO7" s="13">
        <f>_xll.BDH("XOM US Equity","IS_COGS_TO_FE_AND_PP_AND_G","FQ1 2008","FQ1 2008","Currency=USD","Period=FQ","BEST_FPERIOD_OVERRIDE=FQ","FILING_STATUS=OR","SCALING_FORMAT=MLN","FA_ADJUSTED=Adjusted","Sort=A","Dates=H","DateFormat=P","Fill=—","Direction=H","UseDPDF=Y")</f>
        <v>83674</v>
      </c>
      <c r="AP7" s="13">
        <f>_xll.BDH("XOM US Equity","IS_COGS_TO_FE_AND_PP_AND_G","FQ2 2008","FQ2 2008","Currency=USD","Period=FQ","BEST_FPERIOD_OVERRIDE=FQ","FILING_STATUS=OR","SCALING_FORMAT=MLN","FA_ADJUSTED=Adjusted","Sort=A","Dates=H","DateFormat=P","Fill=—","Direction=H","UseDPDF=Y")</f>
        <v>101269</v>
      </c>
    </row>
    <row r="8" spans="1:42" x14ac:dyDescent="0.25">
      <c r="A8" s="6" t="s">
        <v>1</v>
      </c>
      <c r="B8" s="6" t="s">
        <v>91</v>
      </c>
      <c r="C8" s="16">
        <f>_xll.BDH("XOM US Equity","GROSS_PROFIT","FQ3 1998","FQ3 1998","Currency=USD","Period=FQ","BEST_FPERIOD_OVERRIDE=FQ","FILING_STATUS=OR","SCALING_FORMAT=MLN","FA_ADJUSTED=Adjusted","Sort=A","Dates=H","DateFormat=P","Fill=—","Direction=H","UseDPDF=Y")</f>
        <v>9675</v>
      </c>
      <c r="D8" s="16" t="str">
        <f>_xll.BDH("XOM US Equity","GROSS_PROFIT","FQ4 1998","FQ4 1998","Currency=USD","Period=FQ","BEST_FPERIOD_OVERRIDE=FQ","FILING_STATUS=OR","SCALING_FORMAT=MLN","FA_ADJUSTED=Adjusted","Sort=A","Dates=H","DateFormat=P","Fill=—","Direction=H","UseDPDF=Y")</f>
        <v>—</v>
      </c>
      <c r="E8" s="16">
        <f>_xll.BDH("XOM US Equity","GROSS_PROFIT","FQ1 1999","FQ1 1999","Currency=USD","Period=FQ","BEST_FPERIOD_OVERRIDE=FQ","FILING_STATUS=OR","SCALING_FORMAT=MLN","FA_ADJUSTED=Adjusted","Sort=A","Dates=H","DateFormat=P","Fill=—","Direction=H","UseDPDF=Y")</f>
        <v>8520</v>
      </c>
      <c r="F8" s="16">
        <f>_xll.BDH("XOM US Equity","GROSS_PROFIT","FQ2 1999","FQ2 1999","Currency=USD","Period=FQ","BEST_FPERIOD_OVERRIDE=FQ","FILING_STATUS=OR","SCALING_FORMAT=MLN","FA_ADJUSTED=Adjusted","Sort=A","Dates=H","DateFormat=P","Fill=—","Direction=H","UseDPDF=Y")</f>
        <v>9219</v>
      </c>
      <c r="G8" s="16">
        <f>_xll.BDH("XOM US Equity","GROSS_PROFIT","FQ3 1999","FQ3 1999","Currency=USD","Period=FQ","BEST_FPERIOD_OVERRIDE=FQ","FILING_STATUS=OR","SCALING_FORMAT=MLN","FA_ADJUSTED=Adjusted","Sort=A","Dates=H","DateFormat=P","Fill=—","Direction=H","UseDPDF=Y")</f>
        <v>9744</v>
      </c>
      <c r="H8" s="16">
        <f>_xll.BDH("XOM US Equity","GROSS_PROFIT","FQ4 1999","FQ4 1999","Currency=USD","Period=FQ","BEST_FPERIOD_OVERRIDE=FQ","FILING_STATUS=OR","SCALING_FORMAT=MLN","FA_ADJUSTED=Adjusted","Sort=A","Dates=H","DateFormat=P","Fill=—","Direction=H","UseDPDF=Y")</f>
        <v>31279</v>
      </c>
      <c r="I8" s="16">
        <f>_xll.BDH("XOM US Equity","GROSS_PROFIT","FQ1 2000","FQ1 2000","Currency=USD","Period=FQ","BEST_FPERIOD_OVERRIDE=FQ","FILING_STATUS=OR","SCALING_FORMAT=MLN","FA_ADJUSTED=Adjusted","Sort=A","Dates=H","DateFormat=P","Fill=—","Direction=H","UseDPDF=Y")</f>
        <v>16403</v>
      </c>
      <c r="J8" s="16">
        <f>_xll.BDH("XOM US Equity","GROSS_PROFIT","FQ2 2000","FQ2 2000","Currency=USD","Period=FQ","BEST_FPERIOD_OVERRIDE=FQ","FILING_STATUS=OR","SCALING_FORMAT=MLN","FA_ADJUSTED=Adjusted","Sort=A","Dates=H","DateFormat=P","Fill=—","Direction=H","UseDPDF=Y")</f>
        <v>16744</v>
      </c>
      <c r="K8" s="16">
        <f>_xll.BDH("XOM US Equity","GROSS_PROFIT","FQ3 2000","FQ3 2000","Currency=USD","Period=FQ","BEST_FPERIOD_OVERRIDE=FQ","FILING_STATUS=OR","SCALING_FORMAT=MLN","FA_ADJUSTED=Adjusted","Sort=A","Dates=H","DateFormat=P","Fill=—","Direction=H","UseDPDF=Y")</f>
        <v>18301</v>
      </c>
      <c r="L8" s="16">
        <f>_xll.BDH("XOM US Equity","GROSS_PROFIT","FQ4 2000","FQ4 2000","Currency=USD","Period=FQ","BEST_FPERIOD_OVERRIDE=FQ","FILING_STATUS=OR","SCALING_FORMAT=MLN","FA_ADJUSTED=Adjusted","Sort=A","Dates=H","DateFormat=P","Fill=—","Direction=H","UseDPDF=Y")</f>
        <v>19419</v>
      </c>
      <c r="M8" s="16">
        <f>_xll.BDH("XOM US Equity","GROSS_PROFIT","FQ1 2001","FQ1 2001","Currency=USD","Period=FQ","BEST_FPERIOD_OVERRIDE=FQ","FILING_STATUS=OR","SCALING_FORMAT=MLN","FA_ADJUSTED=Adjusted","Sort=A","Dates=H","DateFormat=P","Fill=—","Direction=H","UseDPDF=Y")</f>
        <v>18939</v>
      </c>
      <c r="N8" s="16">
        <f>_xll.BDH("XOM US Equity","GROSS_PROFIT","FQ2 2001","FQ2 2001","Currency=USD","Period=FQ","BEST_FPERIOD_OVERRIDE=FQ","FILING_STATUS=OR","SCALING_FORMAT=MLN","FA_ADJUSTED=Adjusted","Sort=A","Dates=H","DateFormat=P","Fill=—","Direction=H","UseDPDF=Y")</f>
        <v>17647</v>
      </c>
      <c r="O8" s="16">
        <f>_xll.BDH("XOM US Equity","GROSS_PROFIT","FQ3 2001","FQ3 2001","Currency=USD","Period=FQ","BEST_FPERIOD_OVERRIDE=FQ","FILING_STATUS=OR","SCALING_FORMAT=MLN","FA_ADJUSTED=Adjusted","Sort=A","Dates=H","DateFormat=P","Fill=—","Direction=H","UseDPDF=Y")</f>
        <v>8119</v>
      </c>
      <c r="P8" s="16">
        <f>_xll.BDH("XOM US Equity","GROSS_PROFIT","FQ4 2001","FQ4 2001","Currency=USD","Period=FQ","BEST_FPERIOD_OVERRIDE=FQ","FILING_STATUS=OR","SCALING_FORMAT=MLN","FA_ADJUSTED=Adjusted","Sort=A","Dates=H","DateFormat=P","Fill=—","Direction=H","UseDPDF=Y")</f>
        <v>7278</v>
      </c>
      <c r="Q8" s="16">
        <f>_xll.BDH("XOM US Equity","GROSS_PROFIT","FQ1 2002","FQ1 2002","Currency=USD","Period=FQ","BEST_FPERIOD_OVERRIDE=FQ","FILING_STATUS=OR","SCALING_FORMAT=MLN","FA_ADJUSTED=Adjusted","Sort=A","Dates=H","DateFormat=P","Fill=—","Direction=H","UseDPDF=Y")</f>
        <v>14036</v>
      </c>
      <c r="R8" s="16">
        <f>_xll.BDH("XOM US Equity","GROSS_PROFIT","FQ2 2002","FQ2 2002","Currency=USD","Period=FQ","BEST_FPERIOD_OVERRIDE=FQ","FILING_STATUS=OR","SCALING_FORMAT=MLN","FA_ADJUSTED=Adjusted","Sort=A","Dates=H","DateFormat=P","Fill=—","Direction=H","UseDPDF=Y")</f>
        <v>15501</v>
      </c>
      <c r="S8" s="16">
        <f>_xll.BDH("XOM US Equity","GROSS_PROFIT","FQ3 2002","FQ3 2002","Currency=USD","Period=FQ","BEST_FPERIOD_OVERRIDE=FQ","FILING_STATUS=OR","SCALING_FORMAT=MLN","FA_ADJUSTED=Adjusted","Sort=A","Dates=H","DateFormat=P","Fill=—","Direction=H","UseDPDF=Y")</f>
        <v>15227</v>
      </c>
      <c r="T8" s="16">
        <f>_xll.BDH("XOM US Equity","GROSS_PROFIT","FQ4 2002","FQ4 2002","Currency=USD","Period=FQ","BEST_FPERIOD_OVERRIDE=FQ","FILING_STATUS=OR","SCALING_FORMAT=MLN","FA_ADJUSTED=Adjusted","Sort=A","Dates=H","DateFormat=P","Fill=—","Direction=H","UseDPDF=Y")</f>
        <v>17103</v>
      </c>
      <c r="U8" s="16">
        <f>_xll.BDH("XOM US Equity","GROSS_PROFIT","FQ1 2003","FQ1 2003","Currency=USD","Period=FQ","BEST_FPERIOD_OVERRIDE=FQ","FILING_STATUS=OR","SCALING_FORMAT=MLN","FA_ADJUSTED=Adjusted","Sort=A","Dates=H","DateFormat=P","Fill=—","Direction=H","UseDPDF=Y")</f>
        <v>18757</v>
      </c>
      <c r="V8" s="16">
        <f>_xll.BDH("XOM US Equity","GROSS_PROFIT","FQ2 2003","FQ2 2003","Currency=USD","Period=FQ","BEST_FPERIOD_OVERRIDE=FQ","FILING_STATUS=OR","SCALING_FORMAT=MLN","FA_ADJUSTED=Adjusted","Sort=A","Dates=H","DateFormat=P","Fill=—","Direction=H","UseDPDF=Y")</f>
        <v>18555</v>
      </c>
      <c r="W8" s="16">
        <f>_xll.BDH("XOM US Equity","GROSS_PROFIT","FQ3 2003","FQ3 2003","Currency=USD","Period=FQ","BEST_FPERIOD_OVERRIDE=FQ","FILING_STATUS=OR","SCALING_FORMAT=MLN","FA_ADJUSTED=Adjusted","Sort=A","Dates=H","DateFormat=P","Fill=—","Direction=H","UseDPDF=Y")</f>
        <v>18107</v>
      </c>
      <c r="X8" s="16">
        <f>_xll.BDH("XOM US Equity","GROSS_PROFIT","FQ4 2003","FQ4 2003","Currency=USD","Period=FQ","BEST_FPERIOD_OVERRIDE=FQ","FILING_STATUS=OR","SCALING_FORMAT=MLN","FA_ADJUSTED=Adjusted","Sort=A","Dates=H","DateFormat=P","Fill=—","Direction=H","UseDPDF=Y")</f>
        <v>19815</v>
      </c>
      <c r="Y8" s="16">
        <f>_xll.BDH("XOM US Equity","GROSS_PROFIT","FQ1 2004","FQ1 2004","Currency=USD","Period=FQ","BEST_FPERIOD_OVERRIDE=FQ","FILING_STATUS=OR","SCALING_FORMAT=MLN","FA_ADJUSTED=Adjusted","Sort=A","Dates=H","DateFormat=P","Fill=—","Direction=H","UseDPDF=Y")</f>
        <v>21203</v>
      </c>
      <c r="Z8" s="16">
        <f>_xll.BDH("XOM US Equity","GROSS_PROFIT","FQ2 2004","FQ2 2004","Currency=USD","Period=FQ","BEST_FPERIOD_OVERRIDE=FQ","FILING_STATUS=OR","SCALING_FORMAT=MLN","FA_ADJUSTED=Adjusted","Sort=A","Dates=H","DateFormat=P","Fill=—","Direction=H","UseDPDF=Y")</f>
        <v>21688</v>
      </c>
      <c r="AA8" s="16">
        <f>_xll.BDH("XOM US Equity","GROSS_PROFIT","FQ3 2004","FQ3 2004","Currency=USD","Period=FQ","BEST_FPERIOD_OVERRIDE=FQ","FILING_STATUS=OR","SCALING_FORMAT=MLN","FA_ADJUSTED=Adjusted","Sort=A","Dates=H","DateFormat=P","Fill=—","Direction=H","UseDPDF=Y")</f>
        <v>22610</v>
      </c>
      <c r="AB8" s="16">
        <f>_xll.BDH("XOM US Equity","GROSS_PROFIT","FQ4 2004","FQ4 2004","Currency=USD","Period=FQ","BEST_FPERIOD_OVERRIDE=FQ","FILING_STATUS=OR","SCALING_FORMAT=MLN","FA_ADJUSTED=Adjusted","Sort=A","Dates=H","DateFormat=P","Fill=—","Direction=H","UseDPDF=Y")</f>
        <v>26272</v>
      </c>
      <c r="AC8" s="16">
        <f>_xll.BDH("XOM US Equity","GROSS_PROFIT","FQ1 2005","FQ1 2005","Currency=USD","Period=FQ","BEST_FPERIOD_OVERRIDE=FQ","FILING_STATUS=OR","SCALING_FORMAT=MLN","FA_ADJUSTED=Adjusted","Sort=A","Dates=H","DateFormat=P","Fill=—","Direction=H","UseDPDF=Y")</f>
        <v>14102</v>
      </c>
      <c r="AD8" s="16">
        <f>_xll.BDH("XOM US Equity","GROSS_PROFIT","FQ2 2005","FQ2 2005","Currency=USD","Period=FQ","BEST_FPERIOD_OVERRIDE=FQ","FILING_STATUS=OR","SCALING_FORMAT=MLN","FA_ADJUSTED=Adjusted","Sort=A","Dates=H","DateFormat=P","Fill=—","Direction=H","UseDPDF=Y")</f>
        <v>14978</v>
      </c>
      <c r="AE8" s="16">
        <f>_xll.BDH("XOM US Equity","GROSS_PROFIT","FQ3 2005","FQ3 2005","Currency=USD","Period=FQ","BEST_FPERIOD_OVERRIDE=FQ","FILING_STATUS=OR","SCALING_FORMAT=MLN","FA_ADJUSTED=Adjusted","Sort=A","Dates=H","DateFormat=P","Fill=—","Direction=H","UseDPDF=Y")</f>
        <v>16326</v>
      </c>
      <c r="AF8" s="16">
        <f>_xll.BDH("XOM US Equity","GROSS_PROFIT","FQ4 2005","FQ4 2005","Currency=USD","Period=FQ","BEST_FPERIOD_OVERRIDE=FQ","FILING_STATUS=OR","SCALING_FORMAT=MLN","FA_ADJUSTED=Adjusted","Sort=A","Dates=H","DateFormat=P","Fill=—","Direction=H","UseDPDF=Y")</f>
        <v>29012</v>
      </c>
      <c r="AG8" s="16">
        <f>_xll.BDH("XOM US Equity","GROSS_PROFIT","FQ1 2006","FQ1 2006","Currency=USD","Period=FQ","BEST_FPERIOD_OVERRIDE=FQ","FILING_STATUS=OR","SCALING_FORMAT=MLN","FA_ADJUSTED=Adjusted","Sort=A","Dates=H","DateFormat=P","Fill=—","Direction=H","UseDPDF=Y")</f>
        <v>16891</v>
      </c>
      <c r="AH8" s="16">
        <f>_xll.BDH("XOM US Equity","GROSS_PROFIT","FQ2 2006","FQ2 2006","Currency=USD","Period=FQ","BEST_FPERIOD_OVERRIDE=FQ","FILING_STATUS=OR","SCALING_FORMAT=MLN","FA_ADJUSTED=Adjusted","Sort=A","Dates=H","DateFormat=P","Fill=—","Direction=H","UseDPDF=Y")</f>
        <v>19287</v>
      </c>
      <c r="AI8" s="16">
        <f>_xll.BDH("XOM US Equity","GROSS_PROFIT","FQ3 2006","FQ3 2006","Currency=USD","Period=FQ","BEST_FPERIOD_OVERRIDE=FQ","FILING_STATUS=OR","SCALING_FORMAT=MLN","FA_ADJUSTED=Adjusted","Sort=A","Dates=H","DateFormat=P","Fill=—","Direction=H","UseDPDF=Y")</f>
        <v>19190</v>
      </c>
      <c r="AJ8" s="16">
        <f>_xll.BDH("XOM US Equity","GROSS_PROFIT","FQ4 2006","FQ4 2006","Currency=USD","Period=FQ","BEST_FPERIOD_OVERRIDE=FQ","FILING_STATUS=OR","SCALING_FORMAT=MLN","FA_ADJUSTED=Adjusted","Sort=A","Dates=H","DateFormat=P","Fill=—","Direction=H","UseDPDF=Y")</f>
        <v>17025</v>
      </c>
      <c r="AK8" s="16">
        <f>_xll.BDH("XOM US Equity","GROSS_PROFIT","FQ1 2007","FQ1 2007","Currency=USD","Period=FQ","BEST_FPERIOD_OVERRIDE=FQ","FILING_STATUS=OR","SCALING_FORMAT=MLN","FA_ADJUSTED=Adjusted","Sort=A","Dates=H","DateFormat=P","Fill=—","Direction=H","UseDPDF=Y")</f>
        <v>17032</v>
      </c>
      <c r="AL8" s="16">
        <f>_xll.BDH("XOM US Equity","GROSS_PROFIT","FQ2 2007","FQ2 2007","Currency=USD","Period=FQ","BEST_FPERIOD_OVERRIDE=FQ","FILING_STATUS=OR","SCALING_FORMAT=MLN","FA_ADJUSTED=Adjusted","Sort=A","Dates=H","DateFormat=P","Fill=—","Direction=H","UseDPDF=Y")</f>
        <v>19062</v>
      </c>
      <c r="AM8" s="16">
        <f>_xll.BDH("XOM US Equity","GROSS_PROFIT","FQ3 2007","FQ3 2007","Currency=USD","Period=FQ","BEST_FPERIOD_OVERRIDE=FQ","FILING_STATUS=OR","SCALING_FORMAT=MLN","FA_ADJUSTED=Adjusted","Sort=A","Dates=H","DateFormat=P","Fill=—","Direction=H","UseDPDF=Y")</f>
        <v>17915</v>
      </c>
      <c r="AN8" s="16">
        <f>_xll.BDH("XOM US Equity","GROSS_PROFIT","FQ4 2007","FQ4 2007","Currency=USD","Period=FQ","BEST_FPERIOD_OVERRIDE=FQ","FILING_STATUS=OR","SCALING_FORMAT=MLN","FA_ADJUSTED=Adjusted","Sort=A","Dates=H","DateFormat=P","Fill=—","Direction=H","UseDPDF=Y")</f>
        <v>20005</v>
      </c>
      <c r="AO8" s="16">
        <f>_xll.BDH("XOM US Equity","GROSS_PROFIT","FQ1 2008","FQ1 2008","Currency=USD","Period=FQ","BEST_FPERIOD_OVERRIDE=FQ","FILING_STATUS=OR","SCALING_FORMAT=MLN","FA_ADJUSTED=Adjusted","Sort=A","Dates=H","DateFormat=P","Fill=—","Direction=H","UseDPDF=Y")</f>
        <v>21117</v>
      </c>
      <c r="AP8" s="16">
        <f>_xll.BDH("XOM US Equity","GROSS_PROFIT","FQ2 2008","FQ2 2008","Currency=USD","Period=FQ","BEST_FPERIOD_OVERRIDE=FQ","FILING_STATUS=OR","SCALING_FORMAT=MLN","FA_ADJUSTED=Adjusted","Sort=A","Dates=H","DateFormat=P","Fill=—","Direction=H","UseDPDF=Y")</f>
        <v>22969</v>
      </c>
    </row>
    <row r="9" spans="1:42" x14ac:dyDescent="0.25">
      <c r="A9" s="10" t="s">
        <v>92</v>
      </c>
      <c r="B9" s="10" t="s">
        <v>93</v>
      </c>
      <c r="C9" s="13" t="str">
        <f>_xll.BDH("XOM US Equity","IS_OTHER_OPER_INC","FQ3 1998","FQ3 1998","Currency=USD","Period=FQ","BEST_FPERIOD_OVERRIDE=FQ","FILING_STATUS=OR","SCALING_FORMAT=MLN","FA_ADJUSTED=Adjusted","Sort=A","Dates=H","DateFormat=P","Fill=—","Direction=H","UseDPDF=Y")</f>
        <v>—</v>
      </c>
      <c r="D9" s="13">
        <f>_xll.BDH("XOM US Equity","IS_OTHER_OPER_INC","FQ4 1998","FQ4 1998","Currency=USD","Period=FQ","BEST_FPERIOD_OVERRIDE=FQ","FILING_STATUS=OR","SCALING_FORMAT=MLN","FA_ADJUSTED=Adjusted","Sort=A","Dates=H","DateFormat=P","Fill=—","Direction=H","UseDPDF=Y")</f>
        <v>0</v>
      </c>
      <c r="E9" s="13" t="str">
        <f>_xll.BDH("XOM US Equity","IS_OTHER_OPER_INC","FQ1 1999","FQ1 1999","Currency=USD","Period=FQ","BEST_FPERIOD_OVERRIDE=FQ","FILING_STATUS=OR","SCALING_FORMAT=MLN","FA_ADJUSTED=Adjusted","Sort=A","Dates=H","DateFormat=P","Fill=—","Direction=H","UseDPDF=Y")</f>
        <v>—</v>
      </c>
      <c r="F9" s="13" t="str">
        <f>_xll.BDH("XOM US Equity","IS_OTHER_OPER_INC","FQ2 1999","FQ2 1999","Currency=USD","Period=FQ","BEST_FPERIOD_OVERRIDE=FQ","FILING_STATUS=OR","SCALING_FORMAT=MLN","FA_ADJUSTED=Adjusted","Sort=A","Dates=H","DateFormat=P","Fill=—","Direction=H","UseDPDF=Y")</f>
        <v>—</v>
      </c>
      <c r="G9" s="13" t="str">
        <f>_xll.BDH("XOM US Equity","IS_OTHER_OPER_INC","FQ3 1999","FQ3 1999","Currency=USD","Period=FQ","BEST_FPERIOD_OVERRIDE=FQ","FILING_STATUS=OR","SCALING_FORMAT=MLN","FA_ADJUSTED=Adjusted","Sort=A","Dates=H","DateFormat=P","Fill=—","Direction=H","UseDPDF=Y")</f>
        <v>—</v>
      </c>
      <c r="H9" s="13" t="str">
        <f>_xll.BDH("XOM US Equity","IS_OTHER_OPER_INC","FQ4 1999","FQ4 1999","Currency=USD","Period=FQ","BEST_FPERIOD_OVERRIDE=FQ","FILING_STATUS=OR","SCALING_FORMAT=MLN","FA_ADJUSTED=Adjusted","Sort=A","Dates=H","DateFormat=P","Fill=—","Direction=H","UseDPDF=Y")</f>
        <v>—</v>
      </c>
      <c r="I9" s="13" t="str">
        <f>_xll.BDH("XOM US Equity","IS_OTHER_OPER_INC","FQ1 2000","FQ1 2000","Currency=USD","Period=FQ","BEST_FPERIOD_OVERRIDE=FQ","FILING_STATUS=OR","SCALING_FORMAT=MLN","FA_ADJUSTED=Adjusted","Sort=A","Dates=H","DateFormat=P","Fill=—","Direction=H","UseDPDF=Y")</f>
        <v>—</v>
      </c>
      <c r="J9" s="13" t="str">
        <f>_xll.BDH("XOM US Equity","IS_OTHER_OPER_INC","FQ2 2000","FQ2 2000","Currency=USD","Period=FQ","BEST_FPERIOD_OVERRIDE=FQ","FILING_STATUS=OR","SCALING_FORMAT=MLN","FA_ADJUSTED=Adjusted","Sort=A","Dates=H","DateFormat=P","Fill=—","Direction=H","UseDPDF=Y")</f>
        <v>—</v>
      </c>
      <c r="K9" s="13" t="str">
        <f>_xll.BDH("XOM US Equity","IS_OTHER_OPER_INC","FQ3 2000","FQ3 2000","Currency=USD","Period=FQ","BEST_FPERIOD_OVERRIDE=FQ","FILING_STATUS=OR","SCALING_FORMAT=MLN","FA_ADJUSTED=Adjusted","Sort=A","Dates=H","DateFormat=P","Fill=—","Direction=H","UseDPDF=Y")</f>
        <v>—</v>
      </c>
      <c r="L9" s="13" t="str">
        <f>_xll.BDH("XOM US Equity","IS_OTHER_OPER_INC","FQ4 2000","FQ4 2000","Currency=USD","Period=FQ","BEST_FPERIOD_OVERRIDE=FQ","FILING_STATUS=OR","SCALING_FORMAT=MLN","FA_ADJUSTED=Adjusted","Sort=A","Dates=H","DateFormat=P","Fill=—","Direction=H","UseDPDF=Y")</f>
        <v>—</v>
      </c>
      <c r="M9" s="13" t="str">
        <f>_xll.BDH("XOM US Equity","IS_OTHER_OPER_INC","FQ1 2001","FQ1 2001","Currency=USD","Period=FQ","BEST_FPERIOD_OVERRIDE=FQ","FILING_STATUS=OR","SCALING_FORMAT=MLN","FA_ADJUSTED=Adjusted","Sort=A","Dates=H","DateFormat=P","Fill=—","Direction=H","UseDPDF=Y")</f>
        <v>—</v>
      </c>
      <c r="N9" s="13" t="str">
        <f>_xll.BDH("XOM US Equity","IS_OTHER_OPER_INC","FQ2 2001","FQ2 2001","Currency=USD","Period=FQ","BEST_FPERIOD_OVERRIDE=FQ","FILING_STATUS=OR","SCALING_FORMAT=MLN","FA_ADJUSTED=Adjusted","Sort=A","Dates=H","DateFormat=P","Fill=—","Direction=H","UseDPDF=Y")</f>
        <v>—</v>
      </c>
      <c r="O9" s="13" t="str">
        <f>_xll.BDH("XOM US Equity","IS_OTHER_OPER_INC","FQ3 2001","FQ3 2001","Currency=USD","Period=FQ","BEST_FPERIOD_OVERRIDE=FQ","FILING_STATUS=OR","SCALING_FORMAT=MLN","FA_ADJUSTED=Adjusted","Sort=A","Dates=H","DateFormat=P","Fill=—","Direction=H","UseDPDF=Y")</f>
        <v>—</v>
      </c>
      <c r="P9" s="13" t="str">
        <f>_xll.BDH("XOM US Equity","IS_OTHER_OPER_INC","FQ4 2001","FQ4 2001","Currency=USD","Period=FQ","BEST_FPERIOD_OVERRIDE=FQ","FILING_STATUS=OR","SCALING_FORMAT=MLN","FA_ADJUSTED=Adjusted","Sort=A","Dates=H","DateFormat=P","Fill=—","Direction=H","UseDPDF=Y")</f>
        <v>—</v>
      </c>
      <c r="Q9" s="13" t="str">
        <f>_xll.BDH("XOM US Equity","IS_OTHER_OPER_INC","FQ1 2002","FQ1 2002","Currency=USD","Period=FQ","BEST_FPERIOD_OVERRIDE=FQ","FILING_STATUS=OR","SCALING_FORMAT=MLN","FA_ADJUSTED=Adjusted","Sort=A","Dates=H","DateFormat=P","Fill=—","Direction=H","UseDPDF=Y")</f>
        <v>—</v>
      </c>
      <c r="R9" s="13" t="str">
        <f>_xll.BDH("XOM US Equity","IS_OTHER_OPER_INC","FQ2 2002","FQ2 2002","Currency=USD","Period=FQ","BEST_FPERIOD_OVERRIDE=FQ","FILING_STATUS=OR","SCALING_FORMAT=MLN","FA_ADJUSTED=Adjusted","Sort=A","Dates=H","DateFormat=P","Fill=—","Direction=H","UseDPDF=Y")</f>
        <v>—</v>
      </c>
      <c r="S9" s="13" t="str">
        <f>_xll.BDH("XOM US Equity","IS_OTHER_OPER_INC","FQ3 2002","FQ3 2002","Currency=USD","Period=FQ","BEST_FPERIOD_OVERRIDE=FQ","FILING_STATUS=OR","SCALING_FORMAT=MLN","FA_ADJUSTED=Adjusted","Sort=A","Dates=H","DateFormat=P","Fill=—","Direction=H","UseDPDF=Y")</f>
        <v>—</v>
      </c>
      <c r="T9" s="13" t="str">
        <f>_xll.BDH("XOM US Equity","IS_OTHER_OPER_INC","FQ4 2002","FQ4 2002","Currency=USD","Period=FQ","BEST_FPERIOD_OVERRIDE=FQ","FILING_STATUS=OR","SCALING_FORMAT=MLN","FA_ADJUSTED=Adjusted","Sort=A","Dates=H","DateFormat=P","Fill=—","Direction=H","UseDPDF=Y")</f>
        <v>—</v>
      </c>
      <c r="U9" s="13" t="str">
        <f>_xll.BDH("XOM US Equity","IS_OTHER_OPER_INC","FQ1 2003","FQ1 2003","Currency=USD","Period=FQ","BEST_FPERIOD_OVERRIDE=FQ","FILING_STATUS=OR","SCALING_FORMAT=MLN","FA_ADJUSTED=Adjusted","Sort=A","Dates=H","DateFormat=P","Fill=—","Direction=H","UseDPDF=Y")</f>
        <v>—</v>
      </c>
      <c r="V9" s="13" t="str">
        <f>_xll.BDH("XOM US Equity","IS_OTHER_OPER_INC","FQ2 2003","FQ2 2003","Currency=USD","Period=FQ","BEST_FPERIOD_OVERRIDE=FQ","FILING_STATUS=OR","SCALING_FORMAT=MLN","FA_ADJUSTED=Adjusted","Sort=A","Dates=H","DateFormat=P","Fill=—","Direction=H","UseDPDF=Y")</f>
        <v>—</v>
      </c>
      <c r="W9" s="13" t="str">
        <f>_xll.BDH("XOM US Equity","IS_OTHER_OPER_INC","FQ3 2003","FQ3 2003","Currency=USD","Period=FQ","BEST_FPERIOD_OVERRIDE=FQ","FILING_STATUS=OR","SCALING_FORMAT=MLN","FA_ADJUSTED=Adjusted","Sort=A","Dates=H","DateFormat=P","Fill=—","Direction=H","UseDPDF=Y")</f>
        <v>—</v>
      </c>
      <c r="X9" s="13" t="str">
        <f>_xll.BDH("XOM US Equity","IS_OTHER_OPER_INC","FQ4 2003","FQ4 2003","Currency=USD","Period=FQ","BEST_FPERIOD_OVERRIDE=FQ","FILING_STATUS=OR","SCALING_FORMAT=MLN","FA_ADJUSTED=Adjusted","Sort=A","Dates=H","DateFormat=P","Fill=—","Direction=H","UseDPDF=Y")</f>
        <v>—</v>
      </c>
      <c r="Y9" s="13" t="str">
        <f>_xll.BDH("XOM US Equity","IS_OTHER_OPER_INC","FQ1 2004","FQ1 2004","Currency=USD","Period=FQ","BEST_FPERIOD_OVERRIDE=FQ","FILING_STATUS=OR","SCALING_FORMAT=MLN","FA_ADJUSTED=Adjusted","Sort=A","Dates=H","DateFormat=P","Fill=—","Direction=H","UseDPDF=Y")</f>
        <v>—</v>
      </c>
      <c r="Z9" s="13" t="str">
        <f>_xll.BDH("XOM US Equity","IS_OTHER_OPER_INC","FQ2 2004","FQ2 2004","Currency=USD","Period=FQ","BEST_FPERIOD_OVERRIDE=FQ","FILING_STATUS=OR","SCALING_FORMAT=MLN","FA_ADJUSTED=Adjusted","Sort=A","Dates=H","DateFormat=P","Fill=—","Direction=H","UseDPDF=Y")</f>
        <v>—</v>
      </c>
      <c r="AA9" s="13" t="str">
        <f>_xll.BDH("XOM US Equity","IS_OTHER_OPER_INC","FQ3 2004","FQ3 2004","Currency=USD","Period=FQ","BEST_FPERIOD_OVERRIDE=FQ","FILING_STATUS=OR","SCALING_FORMAT=MLN","FA_ADJUSTED=Adjusted","Sort=A","Dates=H","DateFormat=P","Fill=—","Direction=H","UseDPDF=Y")</f>
        <v>—</v>
      </c>
      <c r="AB9" s="13" t="str">
        <f>_xll.BDH("XOM US Equity","IS_OTHER_OPER_INC","FQ4 2004","FQ4 2004","Currency=USD","Period=FQ","BEST_FPERIOD_OVERRIDE=FQ","FILING_STATUS=OR","SCALING_FORMAT=MLN","FA_ADJUSTED=Adjusted","Sort=A","Dates=H","DateFormat=P","Fill=—","Direction=H","UseDPDF=Y")</f>
        <v>—</v>
      </c>
      <c r="AC9" s="13" t="str">
        <f>_xll.BDH("XOM US Equity","IS_OTHER_OPER_INC","FQ1 2005","FQ1 2005","Currency=USD","Period=FQ","BEST_FPERIOD_OVERRIDE=FQ","FILING_STATUS=OR","SCALING_FORMAT=MLN","FA_ADJUSTED=Adjusted","Sort=A","Dates=H","DateFormat=P","Fill=—","Direction=H","UseDPDF=Y")</f>
        <v>—</v>
      </c>
      <c r="AD9" s="13" t="str">
        <f>_xll.BDH("XOM US Equity","IS_OTHER_OPER_INC","FQ2 2005","FQ2 2005","Currency=USD","Period=FQ","BEST_FPERIOD_OVERRIDE=FQ","FILING_STATUS=OR","SCALING_FORMAT=MLN","FA_ADJUSTED=Adjusted","Sort=A","Dates=H","DateFormat=P","Fill=—","Direction=H","UseDPDF=Y")</f>
        <v>—</v>
      </c>
      <c r="AE9" s="13" t="str">
        <f>_xll.BDH("XOM US Equity","IS_OTHER_OPER_INC","FQ3 2005","FQ3 2005","Currency=USD","Period=FQ","BEST_FPERIOD_OVERRIDE=FQ","FILING_STATUS=OR","SCALING_FORMAT=MLN","FA_ADJUSTED=Adjusted","Sort=A","Dates=H","DateFormat=P","Fill=—","Direction=H","UseDPDF=Y")</f>
        <v>—</v>
      </c>
      <c r="AF9" s="13" t="str">
        <f>_xll.BDH("XOM US Equity","IS_OTHER_OPER_INC","FQ4 2005","FQ4 2005","Currency=USD","Period=FQ","BEST_FPERIOD_OVERRIDE=FQ","FILING_STATUS=OR","SCALING_FORMAT=MLN","FA_ADJUSTED=Adjusted","Sort=A","Dates=H","DateFormat=P","Fill=—","Direction=H","UseDPDF=Y")</f>
        <v>—</v>
      </c>
      <c r="AG9" s="13" t="str">
        <f>_xll.BDH("XOM US Equity","IS_OTHER_OPER_INC","FQ1 2006","FQ1 2006","Currency=USD","Period=FQ","BEST_FPERIOD_OVERRIDE=FQ","FILING_STATUS=OR","SCALING_FORMAT=MLN","FA_ADJUSTED=Adjusted","Sort=A","Dates=H","DateFormat=P","Fill=—","Direction=H","UseDPDF=Y")</f>
        <v>—</v>
      </c>
      <c r="AH9" s="13" t="str">
        <f>_xll.BDH("XOM US Equity","IS_OTHER_OPER_INC","FQ2 2006","FQ2 2006","Currency=USD","Period=FQ","BEST_FPERIOD_OVERRIDE=FQ","FILING_STATUS=OR","SCALING_FORMAT=MLN","FA_ADJUSTED=Adjusted","Sort=A","Dates=H","DateFormat=P","Fill=—","Direction=H","UseDPDF=Y")</f>
        <v>—</v>
      </c>
      <c r="AI9" s="13" t="str">
        <f>_xll.BDH("XOM US Equity","IS_OTHER_OPER_INC","FQ3 2006","FQ3 2006","Currency=USD","Period=FQ","BEST_FPERIOD_OVERRIDE=FQ","FILING_STATUS=OR","SCALING_FORMAT=MLN","FA_ADJUSTED=Adjusted","Sort=A","Dates=H","DateFormat=P","Fill=—","Direction=H","UseDPDF=Y")</f>
        <v>—</v>
      </c>
      <c r="AJ9" s="13" t="str">
        <f>_xll.BDH("XOM US Equity","IS_OTHER_OPER_INC","FQ4 2006","FQ4 2006","Currency=USD","Period=FQ","BEST_FPERIOD_OVERRIDE=FQ","FILING_STATUS=OR","SCALING_FORMAT=MLN","FA_ADJUSTED=Adjusted","Sort=A","Dates=H","DateFormat=P","Fill=—","Direction=H","UseDPDF=Y")</f>
        <v>—</v>
      </c>
      <c r="AK9" s="13" t="str">
        <f>_xll.BDH("XOM US Equity","IS_OTHER_OPER_INC","FQ1 2007","FQ1 2007","Currency=USD","Period=FQ","BEST_FPERIOD_OVERRIDE=FQ","FILING_STATUS=OR","SCALING_FORMAT=MLN","FA_ADJUSTED=Adjusted","Sort=A","Dates=H","DateFormat=P","Fill=—","Direction=H","UseDPDF=Y")</f>
        <v>—</v>
      </c>
      <c r="AL9" s="13" t="str">
        <f>_xll.BDH("XOM US Equity","IS_OTHER_OPER_INC","FQ2 2007","FQ2 2007","Currency=USD","Period=FQ","BEST_FPERIOD_OVERRIDE=FQ","FILING_STATUS=OR","SCALING_FORMAT=MLN","FA_ADJUSTED=Adjusted","Sort=A","Dates=H","DateFormat=P","Fill=—","Direction=H","UseDPDF=Y")</f>
        <v>—</v>
      </c>
      <c r="AM9" s="13" t="str">
        <f>_xll.BDH("XOM US Equity","IS_OTHER_OPER_INC","FQ3 2007","FQ3 2007","Currency=USD","Period=FQ","BEST_FPERIOD_OVERRIDE=FQ","FILING_STATUS=OR","SCALING_FORMAT=MLN","FA_ADJUSTED=Adjusted","Sort=A","Dates=H","DateFormat=P","Fill=—","Direction=H","UseDPDF=Y")</f>
        <v>—</v>
      </c>
      <c r="AN9" s="13" t="str">
        <f>_xll.BDH("XOM US Equity","IS_OTHER_OPER_INC","FQ4 2007","FQ4 2007","Currency=USD","Period=FQ","BEST_FPERIOD_OVERRIDE=FQ","FILING_STATUS=OR","SCALING_FORMAT=MLN","FA_ADJUSTED=Adjusted","Sort=A","Dates=H","DateFormat=P","Fill=—","Direction=H","UseDPDF=Y")</f>
        <v>—</v>
      </c>
      <c r="AO9" s="13" t="str">
        <f>_xll.BDH("XOM US Equity","IS_OTHER_OPER_INC","FQ1 2008","FQ1 2008","Currency=USD","Period=FQ","BEST_FPERIOD_OVERRIDE=FQ","FILING_STATUS=OR","SCALING_FORMAT=MLN","FA_ADJUSTED=Adjusted","Sort=A","Dates=H","DateFormat=P","Fill=—","Direction=H","UseDPDF=Y")</f>
        <v>—</v>
      </c>
      <c r="AP9" s="13" t="str">
        <f>_xll.BDH("XOM US Equity","IS_OTHER_OPER_INC","FQ2 2008","FQ2 2008","Currency=USD","Period=FQ","BEST_FPERIOD_OVERRIDE=FQ","FILING_STATUS=OR","SCALING_FORMAT=MLN","FA_ADJUSTED=Adjusted","Sort=A","Dates=H","DateFormat=P","Fill=—","Direction=H","UseDPDF=Y")</f>
        <v>—</v>
      </c>
    </row>
    <row r="10" spans="1:42" x14ac:dyDescent="0.25">
      <c r="A10" s="10" t="s">
        <v>94</v>
      </c>
      <c r="B10" s="10" t="s">
        <v>95</v>
      </c>
      <c r="C10" s="13">
        <f>_xll.BDH("XOM US Equity","IS_OPERATING_EXPN","FQ3 1998","FQ3 1998","Currency=USD","Period=FQ","BEST_FPERIOD_OVERRIDE=FQ","FILING_STATUS=OR","SCALING_FORMAT=MLN","FA_ADJUSTED=Adjusted","Sort=A","Dates=H","DateFormat=P","Fill=—","Direction=H","UseDPDF=Y")</f>
        <v>8013</v>
      </c>
      <c r="D10" s="13" t="str">
        <f>_xll.BDH("XOM US Equity","IS_OPERATING_EXPN","FQ4 1998","FQ4 1998","Currency=USD","Period=FQ","BEST_FPERIOD_OVERRIDE=FQ","FILING_STATUS=OR","SCALING_FORMAT=MLN","FA_ADJUSTED=Adjusted","Sort=A","Dates=H","DateFormat=P","Fill=—","Direction=H","UseDPDF=Y")</f>
        <v>—</v>
      </c>
      <c r="E10" s="13">
        <f>_xll.BDH("XOM US Equity","IS_OPERATING_EXPN","FQ1 1999","FQ1 1999","Currency=USD","Period=FQ","BEST_FPERIOD_OVERRIDE=FQ","FILING_STATUS=OR","SCALING_FORMAT=MLN","FA_ADJUSTED=Adjusted","Sort=A","Dates=H","DateFormat=P","Fill=—","Direction=H","UseDPDF=Y")</f>
        <v>8033</v>
      </c>
      <c r="F10" s="13">
        <f>_xll.BDH("XOM US Equity","IS_OPERATING_EXPN","FQ2 1999","FQ2 1999","Currency=USD","Period=FQ","BEST_FPERIOD_OVERRIDE=FQ","FILING_STATUS=OR","SCALING_FORMAT=MLN","FA_ADJUSTED=Adjusted","Sort=A","Dates=H","DateFormat=P","Fill=—","Direction=H","UseDPDF=Y")</f>
        <v>8025</v>
      </c>
      <c r="G10" s="13">
        <f>_xll.BDH("XOM US Equity","IS_OPERATING_EXPN","FQ3 1999","FQ3 1999","Currency=USD","Period=FQ","BEST_FPERIOD_OVERRIDE=FQ","FILING_STATUS=OR","SCALING_FORMAT=MLN","FA_ADJUSTED=Adjusted","Sort=A","Dates=H","DateFormat=P","Fill=—","Direction=H","UseDPDF=Y")</f>
        <v>7724</v>
      </c>
      <c r="H10" s="13">
        <f>_xll.BDH("XOM US Equity","IS_OPERATING_EXPN","FQ4 1999","FQ4 1999","Currency=USD","Period=FQ","BEST_FPERIOD_OVERRIDE=FQ","FILING_STATUS=OR","SCALING_FORMAT=MLN","FA_ADJUSTED=Adjusted","Sort=A","Dates=H","DateFormat=P","Fill=—","Direction=H","UseDPDF=Y")</f>
        <v>25363</v>
      </c>
      <c r="I10" s="13">
        <f>_xll.BDH("XOM US Equity","IS_OPERATING_EXPN","FQ1 2000","FQ1 2000","Currency=USD","Period=FQ","BEST_FPERIOD_OVERRIDE=FQ","FILING_STATUS=OR","SCALING_FORMAT=MLN","FA_ADJUSTED=Adjusted","Sort=A","Dates=H","DateFormat=P","Fill=—","Direction=H","UseDPDF=Y")</f>
        <v>11169</v>
      </c>
      <c r="J10" s="13">
        <f>_xll.BDH("XOM US Equity","IS_OPERATING_EXPN","FQ2 2000","FQ2 2000","Currency=USD","Period=FQ","BEST_FPERIOD_OVERRIDE=FQ","FILING_STATUS=OR","SCALING_FORMAT=MLN","FA_ADJUSTED=Adjusted","Sort=A","Dates=H","DateFormat=P","Fill=—","Direction=H","UseDPDF=Y")</f>
        <v>10620</v>
      </c>
      <c r="K10" s="13">
        <f>_xll.BDH("XOM US Equity","IS_OPERATING_EXPN","FQ3 2000","FQ3 2000","Currency=USD","Period=FQ","BEST_FPERIOD_OVERRIDE=FQ","FILING_STATUS=OR","SCALING_FORMAT=MLN","FA_ADJUSTED=Adjusted","Sort=A","Dates=H","DateFormat=P","Fill=—","Direction=H","UseDPDF=Y")</f>
        <v>12122</v>
      </c>
      <c r="L10" s="13">
        <f>_xll.BDH("XOM US Equity","IS_OPERATING_EXPN","FQ4 2000","FQ4 2000","Currency=USD","Period=FQ","BEST_FPERIOD_OVERRIDE=FQ","FILING_STATUS=OR","SCALING_FORMAT=MLN","FA_ADJUSTED=Adjusted","Sort=A","Dates=H","DateFormat=P","Fill=—","Direction=H","UseDPDF=Y")</f>
        <v>11777</v>
      </c>
      <c r="M10" s="13">
        <f>_xll.BDH("XOM US Equity","IS_OPERATING_EXPN","FQ1 2001","FQ1 2001","Currency=USD","Period=FQ","BEST_FPERIOD_OVERRIDE=FQ","FILING_STATUS=OR","SCALING_FORMAT=MLN","FA_ADJUSTED=Adjusted","Sort=A","Dates=H","DateFormat=P","Fill=—","Direction=H","UseDPDF=Y")</f>
        <v>11533</v>
      </c>
      <c r="N10" s="13">
        <f>_xll.BDH("XOM US Equity","IS_OPERATING_EXPN","FQ2 2001","FQ2 2001","Currency=USD","Period=FQ","BEST_FPERIOD_OVERRIDE=FQ","FILING_STATUS=OR","SCALING_FORMAT=MLN","FA_ADJUSTED=Adjusted","Sort=A","Dates=H","DateFormat=P","Fill=—","Direction=H","UseDPDF=Y")</f>
        <v>11538</v>
      </c>
      <c r="O10" s="13">
        <f>_xll.BDH("XOM US Equity","IS_OPERATING_EXPN","FQ3 2001","FQ3 2001","Currency=USD","Period=FQ","BEST_FPERIOD_OVERRIDE=FQ","FILING_STATUS=OR","SCALING_FORMAT=MLN","FA_ADJUSTED=Adjusted","Sort=A","Dates=H","DateFormat=P","Fill=—","Direction=H","UseDPDF=Y")</f>
        <v>3514</v>
      </c>
      <c r="P10" s="13">
        <f>_xll.BDH("XOM US Equity","IS_OPERATING_EXPN","FQ4 2001","FQ4 2001","Currency=USD","Period=FQ","BEST_FPERIOD_OVERRIDE=FQ","FILING_STATUS=OR","SCALING_FORMAT=MLN","FA_ADJUSTED=Adjusted","Sort=A","Dates=H","DateFormat=P","Fill=—","Direction=H","UseDPDF=Y")</f>
        <v>4604</v>
      </c>
      <c r="Q10" s="13">
        <f>_xll.BDH("XOM US Equity","IS_OPERATING_EXPN","FQ1 2002","FQ1 2002","Currency=USD","Period=FQ","BEST_FPERIOD_OVERRIDE=FQ","FILING_STATUS=OR","SCALING_FORMAT=MLN","FA_ADJUSTED=Adjusted","Sort=A","Dates=H","DateFormat=P","Fill=—","Direction=H","UseDPDF=Y")</f>
        <v>11301</v>
      </c>
      <c r="R10" s="13">
        <f>_xll.BDH("XOM US Equity","IS_OPERATING_EXPN","FQ2 2002","FQ2 2002","Currency=USD","Period=FQ","BEST_FPERIOD_OVERRIDE=FQ","FILING_STATUS=OR","SCALING_FORMAT=MLN","FA_ADJUSTED=Adjusted","Sort=A","Dates=H","DateFormat=P","Fill=—","Direction=H","UseDPDF=Y")</f>
        <v>11930</v>
      </c>
      <c r="S10" s="13">
        <f>_xll.BDH("XOM US Equity","IS_OPERATING_EXPN","FQ3 2002","FQ3 2002","Currency=USD","Period=FQ","BEST_FPERIOD_OVERRIDE=FQ","FILING_STATUS=OR","SCALING_FORMAT=MLN","FA_ADJUSTED=Adjusted","Sort=A","Dates=H","DateFormat=P","Fill=—","Direction=H","UseDPDF=Y")</f>
        <v>11377</v>
      </c>
      <c r="T10" s="13">
        <f>_xll.BDH("XOM US Equity","IS_OPERATING_EXPN","FQ4 2002","FQ4 2002","Currency=USD","Period=FQ","BEST_FPERIOD_OVERRIDE=FQ","FILING_STATUS=OR","SCALING_FORMAT=MLN","FA_ADJUSTED=Adjusted","Sort=A","Dates=H","DateFormat=P","Fill=—","Direction=H","UseDPDF=Y")</f>
        <v>12240</v>
      </c>
      <c r="U10" s="13">
        <f>_xll.BDH("XOM US Equity","IS_OPERATING_EXPN","FQ1 2003","FQ1 2003","Currency=USD","Period=FQ","BEST_FPERIOD_OVERRIDE=FQ","FILING_STATUS=OR","SCALING_FORMAT=MLN","FA_ADJUSTED=Adjusted","Sort=A","Dates=H","DateFormat=P","Fill=—","Direction=H","UseDPDF=Y")</f>
        <v>12056</v>
      </c>
      <c r="V10" s="13">
        <f>_xll.BDH("XOM US Equity","IS_OPERATING_EXPN","FQ2 2003","FQ2 2003","Currency=USD","Period=FQ","BEST_FPERIOD_OVERRIDE=FQ","FILING_STATUS=OR","SCALING_FORMAT=MLN","FA_ADJUSTED=Adjusted","Sort=A","Dates=H","DateFormat=P","Fill=—","Direction=H","UseDPDF=Y")</f>
        <v>12635</v>
      </c>
      <c r="W10" s="13">
        <f>_xll.BDH("XOM US Equity","IS_OPERATING_EXPN","FQ3 2003","FQ3 2003","Currency=USD","Period=FQ","BEST_FPERIOD_OVERRIDE=FQ","FILING_STATUS=OR","SCALING_FORMAT=MLN","FA_ADJUSTED=Adjusted","Sort=A","Dates=H","DateFormat=P","Fill=—","Direction=H","UseDPDF=Y")</f>
        <v>13084</v>
      </c>
      <c r="X10" s="13">
        <f>_xll.BDH("XOM US Equity","IS_OPERATING_EXPN","FQ4 2003","FQ4 2003","Currency=USD","Period=FQ","BEST_FPERIOD_OVERRIDE=FQ","FILING_STATUS=OR","SCALING_FORMAT=MLN","FA_ADJUSTED=Adjusted","Sort=A","Dates=H","DateFormat=P","Fill=—","Direction=H","UseDPDF=Y")</f>
        <v>14276</v>
      </c>
      <c r="Y10" s="13">
        <f>_xll.BDH("XOM US Equity","IS_OPERATING_EXPN","FQ1 2004","FQ1 2004","Currency=USD","Period=FQ","BEST_FPERIOD_OVERRIDE=FQ","FILING_STATUS=OR","SCALING_FORMAT=MLN","FA_ADJUSTED=Adjusted","Sort=A","Dates=H","DateFormat=P","Fill=—","Direction=H","UseDPDF=Y")</f>
        <v>13581</v>
      </c>
      <c r="Z10" s="13">
        <f>_xll.BDH("XOM US Equity","IS_OPERATING_EXPN","FQ2 2004","FQ2 2004","Currency=USD","Period=FQ","BEST_FPERIOD_OVERRIDE=FQ","FILING_STATUS=OR","SCALING_FORMAT=MLN","FA_ADJUSTED=Adjusted","Sort=A","Dates=H","DateFormat=P","Fill=—","Direction=H","UseDPDF=Y")</f>
        <v>13489</v>
      </c>
      <c r="AA10" s="13">
        <f>_xll.BDH("XOM US Equity","IS_OPERATING_EXPN","FQ3 2004","FQ3 2004","Currency=USD","Period=FQ","BEST_FPERIOD_OVERRIDE=FQ","FILING_STATUS=OR","SCALING_FORMAT=MLN","FA_ADJUSTED=Adjusted","Sort=A","Dates=H","DateFormat=P","Fill=—","Direction=H","UseDPDF=Y")</f>
        <v>13939</v>
      </c>
      <c r="AB10" s="13">
        <f>_xll.BDH("XOM US Equity","IS_OPERATING_EXPN","FQ4 2004","FQ4 2004","Currency=USD","Period=FQ","BEST_FPERIOD_OVERRIDE=FQ","FILING_STATUS=OR","SCALING_FORMAT=MLN","FA_ADJUSTED=Adjusted","Sort=A","Dates=H","DateFormat=P","Fill=—","Direction=H","UseDPDF=Y")</f>
        <v>14892</v>
      </c>
      <c r="AC10" s="13">
        <f>_xll.BDH("XOM US Equity","IS_OPERATING_EXPN","FQ1 2005","FQ1 2005","Currency=USD","Period=FQ","BEST_FPERIOD_OVERRIDE=FQ","FILING_STATUS=OR","SCALING_FORMAT=MLN","FA_ADJUSTED=Adjusted","Sort=A","Dates=H","DateFormat=P","Fill=—","Direction=H","UseDPDF=Y")</f>
        <v>3624</v>
      </c>
      <c r="AD10" s="13">
        <f>_xll.BDH("XOM US Equity","IS_OPERATING_EXPN","FQ2 2005","FQ2 2005","Currency=USD","Period=FQ","BEST_FPERIOD_OVERRIDE=FQ","FILING_STATUS=OR","SCALING_FORMAT=MLN","FA_ADJUSTED=Adjusted","Sort=A","Dates=H","DateFormat=P","Fill=—","Direction=H","UseDPDF=Y")</f>
        <v>3722</v>
      </c>
      <c r="AE10" s="13">
        <f>_xll.BDH("XOM US Equity","IS_OPERATING_EXPN","FQ3 2005","FQ3 2005","Currency=USD","Period=FQ","BEST_FPERIOD_OVERRIDE=FQ","FILING_STATUS=OR","SCALING_FORMAT=MLN","FA_ADJUSTED=Adjusted","Sort=A","Dates=H","DateFormat=P","Fill=—","Direction=H","UseDPDF=Y")</f>
        <v>4013</v>
      </c>
      <c r="AF10" s="13">
        <f>_xll.BDH("XOM US Equity","IS_OPERATING_EXPN","FQ4 2005","FQ4 2005","Currency=USD","Period=FQ","BEST_FPERIOD_OVERRIDE=FQ","FILING_STATUS=OR","SCALING_FORMAT=MLN","FA_ADJUSTED=Adjusted","Sort=A","Dates=H","DateFormat=P","Fill=—","Direction=H","UseDPDF=Y")</f>
        <v>14057</v>
      </c>
      <c r="AG10" s="13">
        <f>_xll.BDH("XOM US Equity","IS_OPERATING_EXPN","FQ1 2006","FQ1 2006","Currency=USD","Period=FQ","BEST_FPERIOD_OVERRIDE=FQ","FILING_STATUS=OR","SCALING_FORMAT=MLN","FA_ADJUSTED=Adjusted","Sort=A","Dates=H","DateFormat=P","Fill=—","Direction=H","UseDPDF=Y")</f>
        <v>3748</v>
      </c>
      <c r="AH10" s="13">
        <f>_xll.BDH("XOM US Equity","IS_OPERATING_EXPN","FQ2 2006","FQ2 2006","Currency=USD","Period=FQ","BEST_FPERIOD_OVERRIDE=FQ","FILING_STATUS=OR","SCALING_FORMAT=MLN","FA_ADJUSTED=Adjusted","Sort=A","Dates=H","DateFormat=P","Fill=—","Direction=H","UseDPDF=Y")</f>
        <v>3733</v>
      </c>
      <c r="AI10" s="13">
        <f>_xll.BDH("XOM US Equity","IS_OPERATING_EXPN","FQ3 2006","FQ3 2006","Currency=USD","Period=FQ","BEST_FPERIOD_OVERRIDE=FQ","FILING_STATUS=OR","SCALING_FORMAT=MLN","FA_ADJUSTED=Adjusted","Sort=A","Dates=H","DateFormat=P","Fill=—","Direction=H","UseDPDF=Y")</f>
        <v>3764</v>
      </c>
      <c r="AJ10" s="13">
        <f>_xll.BDH("XOM US Equity","IS_OPERATING_EXPN","FQ4 2006","FQ4 2006","Currency=USD","Period=FQ","BEST_FPERIOD_OVERRIDE=FQ","FILING_STATUS=OR","SCALING_FORMAT=MLN","FA_ADJUSTED=Adjusted","Sort=A","Dates=H","DateFormat=P","Fill=—","Direction=H","UseDPDF=Y")</f>
        <v>4209</v>
      </c>
      <c r="AK10" s="13">
        <f>_xll.BDH("XOM US Equity","IS_OPERATING_EXPN","FQ1 2007","FQ1 2007","Currency=USD","Period=FQ","BEST_FPERIOD_OVERRIDE=FQ","FILING_STATUS=OR","SCALING_FORMAT=MLN","FA_ADJUSTED=Adjusted","Sort=A","Dates=H","DateFormat=P","Fill=—","Direction=H","UseDPDF=Y")</f>
        <v>3664</v>
      </c>
      <c r="AL10" s="13">
        <f>_xll.BDH("XOM US Equity","IS_OPERATING_EXPN","FQ2 2007","FQ2 2007","Currency=USD","Period=FQ","BEST_FPERIOD_OVERRIDE=FQ","FILING_STATUS=OR","SCALING_FORMAT=MLN","FA_ADJUSTED=Adjusted","Sort=A","Dates=H","DateFormat=P","Fill=—","Direction=H","UseDPDF=Y")</f>
        <v>4141</v>
      </c>
      <c r="AM10" s="13">
        <f>_xll.BDH("XOM US Equity","IS_OPERATING_EXPN","FQ3 2007","FQ3 2007","Currency=USD","Period=FQ","BEST_FPERIOD_OVERRIDE=FQ","FILING_STATUS=OR","SCALING_FORMAT=MLN","FA_ADJUSTED=Adjusted","Sort=A","Dates=H","DateFormat=P","Fill=—","Direction=H","UseDPDF=Y")</f>
        <v>4005</v>
      </c>
      <c r="AN10" s="13">
        <f>_xll.BDH("XOM US Equity","IS_OPERATING_EXPN","FQ4 2007","FQ4 2007","Currency=USD","Period=FQ","BEST_FPERIOD_OVERRIDE=FQ","FILING_STATUS=OR","SCALING_FORMAT=MLN","FA_ADJUSTED=Adjusted","Sort=A","Dates=H","DateFormat=P","Fill=—","Direction=H","UseDPDF=Y")</f>
        <v>4549</v>
      </c>
      <c r="AO10" s="13">
        <f>_xll.BDH("XOM US Equity","IS_OPERATING_EXPN","FQ1 2008","FQ1 2008","Currency=USD","Period=FQ","BEST_FPERIOD_OVERRIDE=FQ","FILING_STATUS=OR","SCALING_FORMAT=MLN","FA_ADJUSTED=Adjusted","Sort=A","Dates=H","DateFormat=P","Fill=—","Direction=H","UseDPDF=Y")</f>
        <v>3322</v>
      </c>
      <c r="AP10" s="13">
        <f>_xll.BDH("XOM US Equity","IS_OPERATING_EXPN","FQ2 2008","FQ2 2008","Currency=USD","Period=FQ","BEST_FPERIOD_OVERRIDE=FQ","FILING_STATUS=OR","SCALING_FORMAT=MLN","FA_ADJUSTED=Adjusted","Sort=A","Dates=H","DateFormat=P","Fill=—","Direction=H","UseDPDF=Y")</f>
        <v>4727</v>
      </c>
    </row>
    <row r="11" spans="1:42" x14ac:dyDescent="0.25">
      <c r="A11" s="10" t="s">
        <v>96</v>
      </c>
      <c r="B11" s="10" t="s">
        <v>97</v>
      </c>
      <c r="C11" s="13" t="str">
        <f>_xll.BDH("XOM US Equity","IS_SG&amp;A_EXPENSE","FQ3 1998","FQ3 1998","Currency=USD","Period=FQ","BEST_FPERIOD_OVERRIDE=FQ","FILING_STATUS=OR","SCALING_FORMAT=MLN","FA_ADJUSTED=Adjusted","Sort=A","Dates=H","DateFormat=P","Fill=—","Direction=H","UseDPDF=Y")</f>
        <v>—</v>
      </c>
      <c r="D11" s="13" t="str">
        <f>_xll.BDH("XOM US Equity","IS_SG&amp;A_EXPENSE","FQ4 1998","FQ4 1998","Currency=USD","Period=FQ","BEST_FPERIOD_OVERRIDE=FQ","FILING_STATUS=OR","SCALING_FORMAT=MLN","FA_ADJUSTED=Adjusted","Sort=A","Dates=H","DateFormat=P","Fill=—","Direction=H","UseDPDF=Y")</f>
        <v>—</v>
      </c>
      <c r="E11" s="13">
        <f>_xll.BDH("XOM US Equity","IS_SG&amp;A_EXPENSE","FQ1 1999","FQ1 1999","Currency=USD","Period=FQ","BEST_FPERIOD_OVERRIDE=FQ","FILING_STATUS=OR","SCALING_FORMAT=MLN","FA_ADJUSTED=Adjusted","Sort=A","Dates=H","DateFormat=P","Fill=—","Direction=H","UseDPDF=Y")</f>
        <v>2314</v>
      </c>
      <c r="F11" s="13">
        <f>_xll.BDH("XOM US Equity","IS_SG&amp;A_EXPENSE","FQ2 1999","FQ2 1999","Currency=USD","Period=FQ","BEST_FPERIOD_OVERRIDE=FQ","FILING_STATUS=OR","SCALING_FORMAT=MLN","FA_ADJUSTED=Adjusted","Sort=A","Dates=H","DateFormat=P","Fill=—","Direction=H","UseDPDF=Y")</f>
        <v>2276</v>
      </c>
      <c r="G11" s="13">
        <f>_xll.BDH("XOM US Equity","IS_SG&amp;A_EXPENSE","FQ3 1999","FQ3 1999","Currency=USD","Period=FQ","BEST_FPERIOD_OVERRIDE=FQ","FILING_STATUS=OR","SCALING_FORMAT=MLN","FA_ADJUSTED=Adjusted","Sort=A","Dates=H","DateFormat=P","Fill=—","Direction=H","UseDPDF=Y")</f>
        <v>1785</v>
      </c>
      <c r="H11" s="13" t="str">
        <f>_xll.BDH("XOM US Equity","IS_SG&amp;A_EXPENSE","FQ4 1999","FQ4 1999","Currency=USD","Period=FQ","BEST_FPERIOD_OVERRIDE=FQ","FILING_STATUS=OR","SCALING_FORMAT=MLN","FA_ADJUSTED=Adjusted","Sort=A","Dates=H","DateFormat=P","Fill=—","Direction=H","UseDPDF=Y")</f>
        <v>—</v>
      </c>
      <c r="I11" s="13">
        <f>_xll.BDH("XOM US Equity","IS_SG&amp;A_EXPENSE","FQ1 2000","FQ1 2000","Currency=USD","Period=FQ","BEST_FPERIOD_OVERRIDE=FQ","FILING_STATUS=OR","SCALING_FORMAT=MLN","FA_ADJUSTED=Adjusted","Sort=A","Dates=H","DateFormat=P","Fill=—","Direction=H","UseDPDF=Y")</f>
        <v>2877</v>
      </c>
      <c r="J11" s="13">
        <f>_xll.BDH("XOM US Equity","IS_SG&amp;A_EXPENSE","FQ2 2000","FQ2 2000","Currency=USD","Period=FQ","BEST_FPERIOD_OVERRIDE=FQ","FILING_STATUS=OR","SCALING_FORMAT=MLN","FA_ADJUSTED=Adjusted","Sort=A","Dates=H","DateFormat=P","Fill=—","Direction=H","UseDPDF=Y")</f>
        <v>2830</v>
      </c>
      <c r="K11" s="13">
        <f>_xll.BDH("XOM US Equity","IS_SG&amp;A_EXPENSE","FQ3 2000","FQ3 2000","Currency=USD","Period=FQ","BEST_FPERIOD_OVERRIDE=FQ","FILING_STATUS=OR","SCALING_FORMAT=MLN","FA_ADJUSTED=Adjusted","Sort=A","Dates=H","DateFormat=P","Fill=—","Direction=H","UseDPDF=Y")</f>
        <v>3358</v>
      </c>
      <c r="L11" s="13" t="str">
        <f>_xll.BDH("XOM US Equity","IS_SG&amp;A_EXPENSE","FQ4 2000","FQ4 2000","Currency=USD","Period=FQ","BEST_FPERIOD_OVERRIDE=FQ","FILING_STATUS=OR","SCALING_FORMAT=MLN","FA_ADJUSTED=Adjusted","Sort=A","Dates=H","DateFormat=P","Fill=—","Direction=H","UseDPDF=Y")</f>
        <v>—</v>
      </c>
      <c r="M11" s="13" t="str">
        <f>_xll.BDH("XOM US Equity","IS_SG&amp;A_EXPENSE","FQ1 2001","FQ1 2001","Currency=USD","Period=FQ","BEST_FPERIOD_OVERRIDE=FQ","FILING_STATUS=OR","SCALING_FORMAT=MLN","FA_ADJUSTED=Adjusted","Sort=A","Dates=H","DateFormat=P","Fill=—","Direction=H","UseDPDF=Y")</f>
        <v>—</v>
      </c>
      <c r="N11" s="13">
        <f>_xll.BDH("XOM US Equity","IS_SG&amp;A_EXPENSE","FQ2 2001","FQ2 2001","Currency=USD","Period=FQ","BEST_FPERIOD_OVERRIDE=FQ","FILING_STATUS=OR","SCALING_FORMAT=MLN","FA_ADJUSTED=Adjusted","Sort=A","Dates=H","DateFormat=P","Fill=—","Direction=H","UseDPDF=Y")</f>
        <v>3215</v>
      </c>
      <c r="O11" s="13">
        <f>_xll.BDH("XOM US Equity","IS_SG&amp;A_EXPENSE","FQ3 2001","FQ3 2001","Currency=USD","Period=FQ","BEST_FPERIOD_OVERRIDE=FQ","FILING_STATUS=OR","SCALING_FORMAT=MLN","FA_ADJUSTED=Adjusted","Sort=A","Dates=H","DateFormat=P","Fill=—","Direction=H","UseDPDF=Y")</f>
        <v>3196</v>
      </c>
      <c r="P11" s="13" t="str">
        <f>_xll.BDH("XOM US Equity","IS_SG&amp;A_EXPENSE","FQ4 2001","FQ4 2001","Currency=USD","Period=FQ","BEST_FPERIOD_OVERRIDE=FQ","FILING_STATUS=OR","SCALING_FORMAT=MLN","FA_ADJUSTED=Adjusted","Sort=A","Dates=H","DateFormat=P","Fill=—","Direction=H","UseDPDF=Y")</f>
        <v>—</v>
      </c>
      <c r="Q11" s="13">
        <f>_xll.BDH("XOM US Equity","IS_SG&amp;A_EXPENSE","FQ1 2002","FQ1 2002","Currency=USD","Period=FQ","BEST_FPERIOD_OVERRIDE=FQ","FILING_STATUS=OR","SCALING_FORMAT=MLN","FA_ADJUSTED=Adjusted","Sort=A","Dates=H","DateFormat=P","Fill=—","Direction=H","UseDPDF=Y")</f>
        <v>3138</v>
      </c>
      <c r="R11" s="13">
        <f>_xll.BDH("XOM US Equity","IS_SG&amp;A_EXPENSE","FQ2 2002","FQ2 2002","Currency=USD","Period=FQ","BEST_FPERIOD_OVERRIDE=FQ","FILING_STATUS=OR","SCALING_FORMAT=MLN","FA_ADJUSTED=Adjusted","Sort=A","Dates=H","DateFormat=P","Fill=—","Direction=H","UseDPDF=Y")</f>
        <v>3310</v>
      </c>
      <c r="S11" s="13">
        <f>_xll.BDH("XOM US Equity","IS_SG&amp;A_EXPENSE","FQ3 2002","FQ3 2002","Currency=USD","Period=FQ","BEST_FPERIOD_OVERRIDE=FQ","FILING_STATUS=OR","SCALING_FORMAT=MLN","FA_ADJUSTED=Adjusted","Sort=A","Dates=H","DateFormat=P","Fill=—","Direction=H","UseDPDF=Y")</f>
        <v>2730</v>
      </c>
      <c r="T11" s="13" t="str">
        <f>_xll.BDH("XOM US Equity","IS_SG&amp;A_EXPENSE","FQ4 2002","FQ4 2002","Currency=USD","Period=FQ","BEST_FPERIOD_OVERRIDE=FQ","FILING_STATUS=OR","SCALING_FORMAT=MLN","FA_ADJUSTED=Adjusted","Sort=A","Dates=H","DateFormat=P","Fill=—","Direction=H","UseDPDF=Y")</f>
        <v>—</v>
      </c>
      <c r="U11" s="13">
        <f>_xll.BDH("XOM US Equity","IS_SG&amp;A_EXPENSE","FQ1 2003","FQ1 2003","Currency=USD","Period=FQ","BEST_FPERIOD_OVERRIDE=FQ","FILING_STATUS=OR","SCALING_FORMAT=MLN","FA_ADJUSTED=Adjusted","Sort=A","Dates=H","DateFormat=P","Fill=—","Direction=H","UseDPDF=Y")</f>
        <v>3102</v>
      </c>
      <c r="V11" s="13">
        <f>_xll.BDH("XOM US Equity","IS_SG&amp;A_EXPENSE","FQ2 2003","FQ2 2003","Currency=USD","Period=FQ","BEST_FPERIOD_OVERRIDE=FQ","FILING_STATUS=OR","SCALING_FORMAT=MLN","FA_ADJUSTED=Adjusted","Sort=A","Dates=H","DateFormat=P","Fill=—","Direction=H","UseDPDF=Y")</f>
        <v>3340</v>
      </c>
      <c r="W11" s="13">
        <f>_xll.BDH("XOM US Equity","IS_SG&amp;A_EXPENSE","FQ3 2003","FQ3 2003","Currency=USD","Period=FQ","BEST_FPERIOD_OVERRIDE=FQ","FILING_STATUS=OR","SCALING_FORMAT=MLN","FA_ADJUSTED=Adjusted","Sort=A","Dates=H","DateFormat=P","Fill=—","Direction=H","UseDPDF=Y")</f>
        <v>3246</v>
      </c>
      <c r="X11" s="13" t="str">
        <f>_xll.BDH("XOM US Equity","IS_SG&amp;A_EXPENSE","FQ4 2003","FQ4 2003","Currency=USD","Period=FQ","BEST_FPERIOD_OVERRIDE=FQ","FILING_STATUS=OR","SCALING_FORMAT=MLN","FA_ADJUSTED=Adjusted","Sort=A","Dates=H","DateFormat=P","Fill=—","Direction=H","UseDPDF=Y")</f>
        <v>—</v>
      </c>
      <c r="Y11" s="13">
        <f>_xll.BDH("XOM US Equity","IS_SG&amp;A_EXPENSE","FQ1 2004","FQ1 2004","Currency=USD","Period=FQ","BEST_FPERIOD_OVERRIDE=FQ","FILING_STATUS=OR","SCALING_FORMAT=MLN","FA_ADJUSTED=Adjusted","Sort=A","Dates=H","DateFormat=P","Fill=—","Direction=H","UseDPDF=Y")</f>
        <v>3242</v>
      </c>
      <c r="Z11" s="13">
        <f>_xll.BDH("XOM US Equity","IS_SG&amp;A_EXPENSE","FQ2 2004","FQ2 2004","Currency=USD","Period=FQ","BEST_FPERIOD_OVERRIDE=FQ","FILING_STATUS=OR","SCALING_FORMAT=MLN","FA_ADJUSTED=Adjusted","Sort=A","Dates=H","DateFormat=P","Fill=—","Direction=H","UseDPDF=Y")</f>
        <v>3332</v>
      </c>
      <c r="AA11" s="13">
        <f>_xll.BDH("XOM US Equity","IS_SG&amp;A_EXPENSE","FQ3 2004","FQ3 2004","Currency=USD","Period=FQ","BEST_FPERIOD_OVERRIDE=FQ","FILING_STATUS=OR","SCALING_FORMAT=MLN","FA_ADJUSTED=Adjusted","Sort=A","Dates=H","DateFormat=P","Fill=—","Direction=H","UseDPDF=Y")</f>
        <v>3372</v>
      </c>
      <c r="AB11" s="13" t="str">
        <f>_xll.BDH("XOM US Equity","IS_SG&amp;A_EXPENSE","FQ4 2004","FQ4 2004","Currency=USD","Period=FQ","BEST_FPERIOD_OVERRIDE=FQ","FILING_STATUS=OR","SCALING_FORMAT=MLN","FA_ADJUSTED=Adjusted","Sort=A","Dates=H","DateFormat=P","Fill=—","Direction=H","UseDPDF=Y")</f>
        <v>—</v>
      </c>
      <c r="AC11" s="13">
        <f>_xll.BDH("XOM US Equity","IS_SG&amp;A_EXPENSE","FQ1 2005","FQ1 2005","Currency=USD","Period=FQ","BEST_FPERIOD_OVERRIDE=FQ","FILING_STATUS=OR","SCALING_FORMAT=MLN","FA_ADJUSTED=Adjusted","Sort=A","Dates=H","DateFormat=P","Fill=—","Direction=H","UseDPDF=Y")</f>
        <v>3451</v>
      </c>
      <c r="AD11" s="13">
        <f>_xll.BDH("XOM US Equity","IS_SG&amp;A_EXPENSE","FQ2 2005","FQ2 2005","Currency=USD","Period=FQ","BEST_FPERIOD_OVERRIDE=FQ","FILING_STATUS=OR","SCALING_FORMAT=MLN","FA_ADJUSTED=Adjusted","Sort=A","Dates=H","DateFormat=P","Fill=—","Direction=H","UseDPDF=Y")</f>
        <v>3508</v>
      </c>
      <c r="AE11" s="13">
        <f>_xll.BDH("XOM US Equity","IS_SG&amp;A_EXPENSE","FQ3 2005","FQ3 2005","Currency=USD","Period=FQ","BEST_FPERIOD_OVERRIDE=FQ","FILING_STATUS=OR","SCALING_FORMAT=MLN","FA_ADJUSTED=Adjusted","Sort=A","Dates=H","DateFormat=P","Fill=—","Direction=H","UseDPDF=Y")</f>
        <v>3765</v>
      </c>
      <c r="AF11" s="13" t="str">
        <f>_xll.BDH("XOM US Equity","IS_SG&amp;A_EXPENSE","FQ4 2005","FQ4 2005","Currency=USD","Period=FQ","BEST_FPERIOD_OVERRIDE=FQ","FILING_STATUS=OR","SCALING_FORMAT=MLN","FA_ADJUSTED=Adjusted","Sort=A","Dates=H","DateFormat=P","Fill=—","Direction=H","UseDPDF=Y")</f>
        <v>—</v>
      </c>
      <c r="AG11" s="13">
        <f>_xll.BDH("XOM US Equity","IS_SG&amp;A_EXPENSE","FQ1 2006","FQ1 2006","Currency=USD","Period=FQ","BEST_FPERIOD_OVERRIDE=FQ","FILING_STATUS=OR","SCALING_FORMAT=MLN","FA_ADJUSTED=Adjusted","Sort=A","Dates=H","DateFormat=P","Fill=—","Direction=H","UseDPDF=Y")</f>
        <v>3466</v>
      </c>
      <c r="AH11" s="13">
        <f>_xll.BDH("XOM US Equity","IS_SG&amp;A_EXPENSE","FQ2 2006","FQ2 2006","Currency=USD","Period=FQ","BEST_FPERIOD_OVERRIDE=FQ","FILING_STATUS=OR","SCALING_FORMAT=MLN","FA_ADJUSTED=Adjusted","Sort=A","Dates=H","DateFormat=P","Fill=—","Direction=H","UseDPDF=Y")</f>
        <v>3557</v>
      </c>
      <c r="AI11" s="13">
        <f>_xll.BDH("XOM US Equity","IS_SG&amp;A_EXPENSE","FQ3 2006","FQ3 2006","Currency=USD","Period=FQ","BEST_FPERIOD_OVERRIDE=FQ","FILING_STATUS=OR","SCALING_FORMAT=MLN","FA_ADJUSTED=Adjusted","Sort=A","Dates=H","DateFormat=P","Fill=—","Direction=H","UseDPDF=Y")</f>
        <v>3412</v>
      </c>
      <c r="AJ11" s="13" t="str">
        <f>_xll.BDH("XOM US Equity","IS_SG&amp;A_EXPENSE","FQ4 2006","FQ4 2006","Currency=USD","Period=FQ","BEST_FPERIOD_OVERRIDE=FQ","FILING_STATUS=OR","SCALING_FORMAT=MLN","FA_ADJUSTED=Adjusted","Sort=A","Dates=H","DateFormat=P","Fill=—","Direction=H","UseDPDF=Y")</f>
        <v>—</v>
      </c>
      <c r="AK11" s="13">
        <f>_xll.BDH("XOM US Equity","IS_SG&amp;A_EXPENSE","FQ1 2007","FQ1 2007","Currency=USD","Period=FQ","BEST_FPERIOD_OVERRIDE=FQ","FILING_STATUS=OR","SCALING_FORMAT=MLN","FA_ADJUSTED=Adjusted","Sort=A","Dates=H","DateFormat=P","Fill=—","Direction=H","UseDPDF=Y")</f>
        <v>3392</v>
      </c>
      <c r="AL11" s="13">
        <f>_xll.BDH("XOM US Equity","IS_SG&amp;A_EXPENSE","FQ2 2007","FQ2 2007","Currency=USD","Period=FQ","BEST_FPERIOD_OVERRIDE=FQ","FILING_STATUS=OR","SCALING_FORMAT=MLN","FA_ADJUSTED=Adjusted","Sort=A","Dates=H","DateFormat=P","Fill=—","Direction=H","UseDPDF=Y")</f>
        <v>3788</v>
      </c>
      <c r="AM11" s="13">
        <f>_xll.BDH("XOM US Equity","IS_SG&amp;A_EXPENSE","FQ3 2007","FQ3 2007","Currency=USD","Period=FQ","BEST_FPERIOD_OVERRIDE=FQ","FILING_STATUS=OR","SCALING_FORMAT=MLN","FA_ADJUSTED=Adjusted","Sort=A","Dates=H","DateFormat=P","Fill=—","Direction=H","UseDPDF=Y")</f>
        <v>3656</v>
      </c>
      <c r="AN11" s="13" t="str">
        <f>_xll.BDH("XOM US Equity","IS_SG&amp;A_EXPENSE","FQ4 2007","FQ4 2007","Currency=USD","Period=FQ","BEST_FPERIOD_OVERRIDE=FQ","FILING_STATUS=OR","SCALING_FORMAT=MLN","FA_ADJUSTED=Adjusted","Sort=A","Dates=H","DateFormat=P","Fill=—","Direction=H","UseDPDF=Y")</f>
        <v>—</v>
      </c>
      <c r="AO11" s="13">
        <f>_xll.BDH("XOM US Equity","IS_SG&amp;A_EXPENSE","FQ1 2008","FQ1 2008","Currency=USD","Period=FQ","BEST_FPERIOD_OVERRIDE=FQ","FILING_STATUS=OR","SCALING_FORMAT=MLN","FA_ADJUSTED=Adjusted","Sort=A","Dates=H","DateFormat=P","Fill=—","Direction=H","UseDPDF=Y")</f>
        <v>3802</v>
      </c>
      <c r="AP11" s="13">
        <f>_xll.BDH("XOM US Equity","IS_SG&amp;A_EXPENSE","FQ2 2008","FQ2 2008","Currency=USD","Period=FQ","BEST_FPERIOD_OVERRIDE=FQ","FILING_STATUS=OR","SCALING_FORMAT=MLN","FA_ADJUSTED=Adjusted","Sort=A","Dates=H","DateFormat=P","Fill=—","Direction=H","UseDPDF=Y")</f>
        <v>4389</v>
      </c>
    </row>
    <row r="12" spans="1:42" x14ac:dyDescent="0.25">
      <c r="A12" s="6" t="s">
        <v>98</v>
      </c>
      <c r="B12" s="6" t="s">
        <v>99</v>
      </c>
      <c r="C12" s="16">
        <f>_xll.BDH("XOM US Equity","IS_OPER_INC","FQ3 1998","FQ3 1998","Currency=USD","Period=FQ","BEST_FPERIOD_OVERRIDE=FQ","FILING_STATUS=OR","SCALING_FORMAT=MLN","FA_ADJUSTED=Adjusted","Sort=A","Dates=H","DateFormat=P","Fill=—","Direction=H","UseDPDF=Y")</f>
        <v>1662</v>
      </c>
      <c r="D12" s="16" t="str">
        <f>_xll.BDH("XOM US Equity","IS_OPER_INC","FQ4 1998","FQ4 1998","Currency=USD","Period=FQ","BEST_FPERIOD_OVERRIDE=FQ","FILING_STATUS=OR","SCALING_FORMAT=MLN","FA_ADJUSTED=Adjusted","Sort=A","Dates=H","DateFormat=P","Fill=—","Direction=H","UseDPDF=Y")</f>
        <v>—</v>
      </c>
      <c r="E12" s="16">
        <f>_xll.BDH("XOM US Equity","IS_OPER_INC","FQ1 1999","FQ1 1999","Currency=USD","Period=FQ","BEST_FPERIOD_OVERRIDE=FQ","FILING_STATUS=OR","SCALING_FORMAT=MLN","FA_ADJUSTED=Adjusted","Sort=A","Dates=H","DateFormat=P","Fill=—","Direction=H","UseDPDF=Y")</f>
        <v>487</v>
      </c>
      <c r="F12" s="16">
        <f>_xll.BDH("XOM US Equity","IS_OPER_INC","FQ2 1999","FQ2 1999","Currency=USD","Period=FQ","BEST_FPERIOD_OVERRIDE=FQ","FILING_STATUS=OR","SCALING_FORMAT=MLN","FA_ADJUSTED=Adjusted","Sort=A","Dates=H","DateFormat=P","Fill=—","Direction=H","UseDPDF=Y")</f>
        <v>1194</v>
      </c>
      <c r="G12" s="16">
        <f>_xll.BDH("XOM US Equity","IS_OPER_INC","FQ3 1999","FQ3 1999","Currency=USD","Period=FQ","BEST_FPERIOD_OVERRIDE=FQ","FILING_STATUS=OR","SCALING_FORMAT=MLN","FA_ADJUSTED=Adjusted","Sort=A","Dates=H","DateFormat=P","Fill=—","Direction=H","UseDPDF=Y")</f>
        <v>2020</v>
      </c>
      <c r="H12" s="16">
        <f>_xll.BDH("XOM US Equity","IS_OPER_INC","FQ4 1999","FQ4 1999","Currency=USD","Period=FQ","BEST_FPERIOD_OVERRIDE=FQ","FILING_STATUS=OR","SCALING_FORMAT=MLN","FA_ADJUSTED=Adjusted","Sort=A","Dates=H","DateFormat=P","Fill=—","Direction=H","UseDPDF=Y")</f>
        <v>5916</v>
      </c>
      <c r="I12" s="16">
        <f>_xll.BDH("XOM US Equity","IS_OPER_INC","FQ1 2000","FQ1 2000","Currency=USD","Period=FQ","BEST_FPERIOD_OVERRIDE=FQ","FILING_STATUS=OR","SCALING_FORMAT=MLN","FA_ADJUSTED=Adjusted","Sort=A","Dates=H","DateFormat=P","Fill=—","Direction=H","UseDPDF=Y")</f>
        <v>5234</v>
      </c>
      <c r="J12" s="16">
        <f>_xll.BDH("XOM US Equity","IS_OPER_INC","FQ2 2000","FQ2 2000","Currency=USD","Period=FQ","BEST_FPERIOD_OVERRIDE=FQ","FILING_STATUS=OR","SCALING_FORMAT=MLN","FA_ADJUSTED=Adjusted","Sort=A","Dates=H","DateFormat=P","Fill=—","Direction=H","UseDPDF=Y")</f>
        <v>6124</v>
      </c>
      <c r="K12" s="16">
        <f>_xll.BDH("XOM US Equity","IS_OPER_INC","FQ3 2000","FQ3 2000","Currency=USD","Period=FQ","BEST_FPERIOD_OVERRIDE=FQ","FILING_STATUS=OR","SCALING_FORMAT=MLN","FA_ADJUSTED=Adjusted","Sort=A","Dates=H","DateFormat=P","Fill=—","Direction=H","UseDPDF=Y")</f>
        <v>6179</v>
      </c>
      <c r="L12" s="16">
        <f>_xll.BDH("XOM US Equity","IS_OPER_INC","FQ4 2000","FQ4 2000","Currency=USD","Period=FQ","BEST_FPERIOD_OVERRIDE=FQ","FILING_STATUS=OR","SCALING_FORMAT=MLN","FA_ADJUSTED=Adjusted","Sort=A","Dates=H","DateFormat=P","Fill=—","Direction=H","UseDPDF=Y")</f>
        <v>7642</v>
      </c>
      <c r="M12" s="16">
        <f>_xll.BDH("XOM US Equity","IS_OPER_INC","FQ1 2001","FQ1 2001","Currency=USD","Period=FQ","BEST_FPERIOD_OVERRIDE=FQ","FILING_STATUS=OR","SCALING_FORMAT=MLN","FA_ADJUSTED=Adjusted","Sort=A","Dates=H","DateFormat=P","Fill=—","Direction=H","UseDPDF=Y")</f>
        <v>7406</v>
      </c>
      <c r="N12" s="16">
        <f>_xll.BDH("XOM US Equity","IS_OPER_INC","FQ2 2001","FQ2 2001","Currency=USD","Period=FQ","BEST_FPERIOD_OVERRIDE=FQ","FILING_STATUS=OR","SCALING_FORMAT=MLN","FA_ADJUSTED=Adjusted","Sort=A","Dates=H","DateFormat=P","Fill=—","Direction=H","UseDPDF=Y")</f>
        <v>6109</v>
      </c>
      <c r="O12" s="16">
        <f>_xll.BDH("XOM US Equity","IS_OPER_INC","FQ3 2001","FQ3 2001","Currency=USD","Period=FQ","BEST_FPERIOD_OVERRIDE=FQ","FILING_STATUS=OR","SCALING_FORMAT=MLN","FA_ADJUSTED=Adjusted","Sort=A","Dates=H","DateFormat=P","Fill=—","Direction=H","UseDPDF=Y")</f>
        <v>4605</v>
      </c>
      <c r="P12" s="16">
        <f>_xll.BDH("XOM US Equity","IS_OPER_INC","FQ4 2001","FQ4 2001","Currency=USD","Period=FQ","BEST_FPERIOD_OVERRIDE=FQ","FILING_STATUS=OR","SCALING_FORMAT=MLN","FA_ADJUSTED=Adjusted","Sort=A","Dates=H","DateFormat=P","Fill=—","Direction=H","UseDPDF=Y")</f>
        <v>2674</v>
      </c>
      <c r="Q12" s="16">
        <f>_xll.BDH("XOM US Equity","IS_OPER_INC","FQ1 2002","FQ1 2002","Currency=USD","Period=FQ","BEST_FPERIOD_OVERRIDE=FQ","FILING_STATUS=OR","SCALING_FORMAT=MLN","FA_ADJUSTED=Adjusted","Sort=A","Dates=H","DateFormat=P","Fill=—","Direction=H","UseDPDF=Y")</f>
        <v>2735</v>
      </c>
      <c r="R12" s="16">
        <f>_xll.BDH("XOM US Equity","IS_OPER_INC","FQ2 2002","FQ2 2002","Currency=USD","Period=FQ","BEST_FPERIOD_OVERRIDE=FQ","FILING_STATUS=OR","SCALING_FORMAT=MLN","FA_ADJUSTED=Adjusted","Sort=A","Dates=H","DateFormat=P","Fill=—","Direction=H","UseDPDF=Y")</f>
        <v>3571</v>
      </c>
      <c r="S12" s="16">
        <f>_xll.BDH("XOM US Equity","IS_OPER_INC","FQ3 2002","FQ3 2002","Currency=USD","Period=FQ","BEST_FPERIOD_OVERRIDE=FQ","FILING_STATUS=OR","SCALING_FORMAT=MLN","FA_ADJUSTED=Adjusted","Sort=A","Dates=H","DateFormat=P","Fill=—","Direction=H","UseDPDF=Y")</f>
        <v>3850</v>
      </c>
      <c r="T12" s="16">
        <f>_xll.BDH("XOM US Equity","IS_OPER_INC","FQ4 2002","FQ4 2002","Currency=USD","Period=FQ","BEST_FPERIOD_OVERRIDE=FQ","FILING_STATUS=OR","SCALING_FORMAT=MLN","FA_ADJUSTED=Adjusted","Sort=A","Dates=H","DateFormat=P","Fill=—","Direction=H","UseDPDF=Y")</f>
        <v>4863</v>
      </c>
      <c r="U12" s="16">
        <f>_xll.BDH("XOM US Equity","IS_OPER_INC","FQ1 2003","FQ1 2003","Currency=USD","Period=FQ","BEST_FPERIOD_OVERRIDE=FQ","FILING_STATUS=OR","SCALING_FORMAT=MLN","FA_ADJUSTED=Adjusted","Sort=A","Dates=H","DateFormat=P","Fill=—","Direction=H","UseDPDF=Y")</f>
        <v>6701</v>
      </c>
      <c r="V12" s="16">
        <f>_xll.BDH("XOM US Equity","IS_OPER_INC","FQ2 2003","FQ2 2003","Currency=USD","Period=FQ","BEST_FPERIOD_OVERRIDE=FQ","FILING_STATUS=OR","SCALING_FORMAT=MLN","FA_ADJUSTED=Adjusted","Sort=A","Dates=H","DateFormat=P","Fill=—","Direction=H","UseDPDF=Y")</f>
        <v>5920</v>
      </c>
      <c r="W12" s="16">
        <f>_xll.BDH("XOM US Equity","IS_OPER_INC","FQ3 2003","FQ3 2003","Currency=USD","Period=FQ","BEST_FPERIOD_OVERRIDE=FQ","FILING_STATUS=OR","SCALING_FORMAT=MLN","FA_ADJUSTED=Adjusted","Sort=A","Dates=H","DateFormat=P","Fill=—","Direction=H","UseDPDF=Y")</f>
        <v>5023</v>
      </c>
      <c r="X12" s="16">
        <f>_xll.BDH("XOM US Equity","IS_OPER_INC","FQ4 2003","FQ4 2003","Currency=USD","Period=FQ","BEST_FPERIOD_OVERRIDE=FQ","FILING_STATUS=OR","SCALING_FORMAT=MLN","FA_ADJUSTED=Adjusted","Sort=A","Dates=H","DateFormat=P","Fill=—","Direction=H","UseDPDF=Y")</f>
        <v>5539</v>
      </c>
      <c r="Y12" s="16">
        <f>_xll.BDH("XOM US Equity","IS_OPER_INC","FQ1 2004","FQ1 2004","Currency=USD","Period=FQ","BEST_FPERIOD_OVERRIDE=FQ","FILING_STATUS=OR","SCALING_FORMAT=MLN","FA_ADJUSTED=Adjusted","Sort=A","Dates=H","DateFormat=P","Fill=—","Direction=H","UseDPDF=Y")</f>
        <v>7622</v>
      </c>
      <c r="Z12" s="16">
        <f>_xll.BDH("XOM US Equity","IS_OPER_INC","FQ2 2004","FQ2 2004","Currency=USD","Period=FQ","BEST_FPERIOD_OVERRIDE=FQ","FILING_STATUS=OR","SCALING_FORMAT=MLN","FA_ADJUSTED=Adjusted","Sort=A","Dates=H","DateFormat=P","Fill=—","Direction=H","UseDPDF=Y")</f>
        <v>8199</v>
      </c>
      <c r="AA12" s="16">
        <f>_xll.BDH("XOM US Equity","IS_OPER_INC","FQ3 2004","FQ3 2004","Currency=USD","Period=FQ","BEST_FPERIOD_OVERRIDE=FQ","FILING_STATUS=OR","SCALING_FORMAT=MLN","FA_ADJUSTED=Adjusted","Sort=A","Dates=H","DateFormat=P","Fill=—","Direction=H","UseDPDF=Y")</f>
        <v>8671</v>
      </c>
      <c r="AB12" s="16">
        <f>_xll.BDH("XOM US Equity","IS_OPER_INC","FQ4 2004","FQ4 2004","Currency=USD","Period=FQ","BEST_FPERIOD_OVERRIDE=FQ","FILING_STATUS=OR","SCALING_FORMAT=MLN","FA_ADJUSTED=Adjusted","Sort=A","Dates=H","DateFormat=P","Fill=—","Direction=H","UseDPDF=Y")</f>
        <v>11380</v>
      </c>
      <c r="AC12" s="16">
        <f>_xll.BDH("XOM US Equity","IS_OPER_INC","FQ1 2005","FQ1 2005","Currency=USD","Period=FQ","BEST_FPERIOD_OVERRIDE=FQ","FILING_STATUS=OR","SCALING_FORMAT=MLN","FA_ADJUSTED=Adjusted","Sort=A","Dates=H","DateFormat=P","Fill=—","Direction=H","UseDPDF=Y")</f>
        <v>10478</v>
      </c>
      <c r="AD12" s="16">
        <f>_xll.BDH("XOM US Equity","IS_OPER_INC","FQ2 2005","FQ2 2005","Currency=USD","Period=FQ","BEST_FPERIOD_OVERRIDE=FQ","FILING_STATUS=OR","SCALING_FORMAT=MLN","FA_ADJUSTED=Adjusted","Sort=A","Dates=H","DateFormat=P","Fill=—","Direction=H","UseDPDF=Y")</f>
        <v>11256</v>
      </c>
      <c r="AE12" s="16">
        <f>_xll.BDH("XOM US Equity","IS_OPER_INC","FQ3 2005","FQ3 2005","Currency=USD","Period=FQ","BEST_FPERIOD_OVERRIDE=FQ","FILING_STATUS=OR","SCALING_FORMAT=MLN","FA_ADJUSTED=Adjusted","Sort=A","Dates=H","DateFormat=P","Fill=—","Direction=H","UseDPDF=Y")</f>
        <v>12313</v>
      </c>
      <c r="AF12" s="16">
        <f>_xll.BDH("XOM US Equity","IS_OPER_INC","FQ4 2005","FQ4 2005","Currency=USD","Period=FQ","BEST_FPERIOD_OVERRIDE=FQ","FILING_STATUS=OR","SCALING_FORMAT=MLN","FA_ADJUSTED=Adjusted","Sort=A","Dates=H","DateFormat=P","Fill=—","Direction=H","UseDPDF=Y")</f>
        <v>14955</v>
      </c>
      <c r="AG12" s="16">
        <f>_xll.BDH("XOM US Equity","IS_OPER_INC","FQ1 2006","FQ1 2006","Currency=USD","Period=FQ","BEST_FPERIOD_OVERRIDE=FQ","FILING_STATUS=OR","SCALING_FORMAT=MLN","FA_ADJUSTED=Adjusted","Sort=A","Dates=H","DateFormat=P","Fill=—","Direction=H","UseDPDF=Y")</f>
        <v>13143</v>
      </c>
      <c r="AH12" s="16">
        <f>_xll.BDH("XOM US Equity","IS_OPER_INC","FQ2 2006","FQ2 2006","Currency=USD","Period=FQ","BEST_FPERIOD_OVERRIDE=FQ","FILING_STATUS=OR","SCALING_FORMAT=MLN","FA_ADJUSTED=Adjusted","Sort=A","Dates=H","DateFormat=P","Fill=—","Direction=H","UseDPDF=Y")</f>
        <v>15554</v>
      </c>
      <c r="AI12" s="16">
        <f>_xll.BDH("XOM US Equity","IS_OPER_INC","FQ3 2006","FQ3 2006","Currency=USD","Period=FQ","BEST_FPERIOD_OVERRIDE=FQ","FILING_STATUS=OR","SCALING_FORMAT=MLN","FA_ADJUSTED=Adjusted","Sort=A","Dates=H","DateFormat=P","Fill=—","Direction=H","UseDPDF=Y")</f>
        <v>15426</v>
      </c>
      <c r="AJ12" s="16">
        <f>_xll.BDH("XOM US Equity","IS_OPER_INC","FQ4 2006","FQ4 2006","Currency=USD","Period=FQ","BEST_FPERIOD_OVERRIDE=FQ","FILING_STATUS=OR","SCALING_FORMAT=MLN","FA_ADJUSTED=Adjusted","Sort=A","Dates=H","DateFormat=P","Fill=—","Direction=H","UseDPDF=Y")</f>
        <v>12816</v>
      </c>
      <c r="AK12" s="16">
        <f>_xll.BDH("XOM US Equity","IS_OPER_INC","FQ1 2007","FQ1 2007","Currency=USD","Period=FQ","BEST_FPERIOD_OVERRIDE=FQ","FILING_STATUS=OR","SCALING_FORMAT=MLN","FA_ADJUSTED=Adjusted","Sort=A","Dates=H","DateFormat=P","Fill=—","Direction=H","UseDPDF=Y")</f>
        <v>13368</v>
      </c>
      <c r="AL12" s="16">
        <f>_xll.BDH("XOM US Equity","IS_OPER_INC","FQ2 2007","FQ2 2007","Currency=USD","Period=FQ","BEST_FPERIOD_OVERRIDE=FQ","FILING_STATUS=OR","SCALING_FORMAT=MLN","FA_ADJUSTED=Adjusted","Sort=A","Dates=H","DateFormat=P","Fill=—","Direction=H","UseDPDF=Y")</f>
        <v>14921</v>
      </c>
      <c r="AM12" s="16">
        <f>_xll.BDH("XOM US Equity","IS_OPER_INC","FQ3 2007","FQ3 2007","Currency=USD","Period=FQ","BEST_FPERIOD_OVERRIDE=FQ","FILING_STATUS=OR","SCALING_FORMAT=MLN","FA_ADJUSTED=Adjusted","Sort=A","Dates=H","DateFormat=P","Fill=—","Direction=H","UseDPDF=Y")</f>
        <v>13910</v>
      </c>
      <c r="AN12" s="16">
        <f>_xll.BDH("XOM US Equity","IS_OPER_INC","FQ4 2007","FQ4 2007","Currency=USD","Period=FQ","BEST_FPERIOD_OVERRIDE=FQ","FILING_STATUS=OR","SCALING_FORMAT=MLN","FA_ADJUSTED=Adjusted","Sort=A","Dates=H","DateFormat=P","Fill=—","Direction=H","UseDPDF=Y")</f>
        <v>15456</v>
      </c>
      <c r="AO12" s="16">
        <f>_xll.BDH("XOM US Equity","IS_OPER_INC","FQ1 2008","FQ1 2008","Currency=USD","Period=FQ","BEST_FPERIOD_OVERRIDE=FQ","FILING_STATUS=OR","SCALING_FORMAT=MLN","FA_ADJUSTED=Adjusted","Sort=A","Dates=H","DateFormat=P","Fill=—","Direction=H","UseDPDF=Y")</f>
        <v>17795</v>
      </c>
      <c r="AP12" s="16">
        <f>_xll.BDH("XOM US Equity","IS_OPER_INC","FQ2 2008","FQ2 2008","Currency=USD","Period=FQ","BEST_FPERIOD_OVERRIDE=FQ","FILING_STATUS=OR","SCALING_FORMAT=MLN","FA_ADJUSTED=Adjusted","Sort=A","Dates=H","DateFormat=P","Fill=—","Direction=H","UseDPDF=Y")</f>
        <v>18242</v>
      </c>
    </row>
    <row r="13" spans="1:42" x14ac:dyDescent="0.25">
      <c r="A13" s="10" t="s">
        <v>100</v>
      </c>
      <c r="B13" s="10" t="s">
        <v>101</v>
      </c>
      <c r="C13" s="13" t="str">
        <f>_xll.BDH("XOM US Equity","IS_NET_INTEREST_EXPENSE","FQ3 1998","FQ3 1998","Currency=USD","Period=FQ","BEST_FPERIOD_OVERRIDE=FQ","FILING_STATUS=OR","SCALING_FORMAT=MLN","FA_ADJUSTED=Adjusted","Sort=A","Dates=H","DateFormat=P","Fill=—","Direction=H","UseDPDF=Y")</f>
        <v>—</v>
      </c>
      <c r="D13" s="13" t="str">
        <f>_xll.BDH("XOM US Equity","IS_NET_INTEREST_EXPENSE","FQ4 1998","FQ4 1998","Currency=USD","Period=FQ","BEST_FPERIOD_OVERRIDE=FQ","FILING_STATUS=OR","SCALING_FORMAT=MLN","FA_ADJUSTED=Adjusted","Sort=A","Dates=H","DateFormat=P","Fill=—","Direction=H","UseDPDF=Y")</f>
        <v>—</v>
      </c>
      <c r="E13" s="13">
        <f>_xll.BDH("XOM US Equity","IS_NET_INTEREST_EXPENSE","FQ1 1999","FQ1 1999","Currency=USD","Period=FQ","BEST_FPERIOD_OVERRIDE=FQ","FILING_STATUS=OR","SCALING_FORMAT=MLN","FA_ADJUSTED=Adjusted","Sort=A","Dates=H","DateFormat=P","Fill=—","Direction=H","UseDPDF=Y")</f>
        <v>94</v>
      </c>
      <c r="F13" s="13">
        <f>_xll.BDH("XOM US Equity","IS_NET_INTEREST_EXPENSE","FQ2 1999","FQ2 1999","Currency=USD","Period=FQ","BEST_FPERIOD_OVERRIDE=FQ","FILING_STATUS=OR","SCALING_FORMAT=MLN","FA_ADJUSTED=Adjusted","Sort=A","Dates=H","DateFormat=P","Fill=—","Direction=H","UseDPDF=Y")</f>
        <v>45</v>
      </c>
      <c r="G13" s="13">
        <f>_xll.BDH("XOM US Equity","IS_NET_INTEREST_EXPENSE","FQ3 1999","FQ3 1999","Currency=USD","Period=FQ","BEST_FPERIOD_OVERRIDE=FQ","FILING_STATUS=OR","SCALING_FORMAT=MLN","FA_ADJUSTED=Adjusted","Sort=A","Dates=H","DateFormat=P","Fill=—","Direction=H","UseDPDF=Y")</f>
        <v>58</v>
      </c>
      <c r="H13" s="13" t="str">
        <f>_xll.BDH("XOM US Equity","IS_NET_INTEREST_EXPENSE","FQ4 1999","FQ4 1999","Currency=USD","Period=FQ","BEST_FPERIOD_OVERRIDE=FQ","FILING_STATUS=OR","SCALING_FORMAT=MLN","FA_ADJUSTED=Adjusted","Sort=A","Dates=H","DateFormat=P","Fill=—","Direction=H","UseDPDF=Y")</f>
        <v>—</v>
      </c>
      <c r="I13" s="13">
        <f>_xll.BDH("XOM US Equity","IS_NET_INTEREST_EXPENSE","FQ1 2000","FQ1 2000","Currency=USD","Period=FQ","BEST_FPERIOD_OVERRIDE=FQ","FILING_STATUS=OR","SCALING_FORMAT=MLN","FA_ADJUSTED=Adjusted","Sort=A","Dates=H","DateFormat=P","Fill=—","Direction=H","UseDPDF=Y")</f>
        <v>174</v>
      </c>
      <c r="J13" s="13">
        <f>_xll.BDH("XOM US Equity","IS_NET_INTEREST_EXPENSE","FQ2 2000","FQ2 2000","Currency=USD","Period=FQ","BEST_FPERIOD_OVERRIDE=FQ","FILING_STATUS=OR","SCALING_FORMAT=MLN","FA_ADJUSTED=Adjusted","Sort=A","Dates=H","DateFormat=P","Fill=—","Direction=H","UseDPDF=Y")</f>
        <v>126</v>
      </c>
      <c r="K13" s="13">
        <f>_xll.BDH("XOM US Equity","IS_NET_INTEREST_EXPENSE","FQ3 2000","FQ3 2000","Currency=USD","Period=FQ","BEST_FPERIOD_OVERRIDE=FQ","FILING_STATUS=OR","SCALING_FORMAT=MLN","FA_ADJUSTED=Adjusted","Sort=A","Dates=H","DateFormat=P","Fill=—","Direction=H","UseDPDF=Y")</f>
        <v>108</v>
      </c>
      <c r="L13" s="13">
        <f>_xll.BDH("XOM US Equity","IS_NET_INTEREST_EXPENSE","FQ4 2000","FQ4 2000","Currency=USD","Period=FQ","BEST_FPERIOD_OVERRIDE=FQ","FILING_STATUS=OR","SCALING_FORMAT=MLN","FA_ADJUSTED=Adjusted","Sort=A","Dates=H","DateFormat=P","Fill=—","Direction=H","UseDPDF=Y")</f>
        <v>181</v>
      </c>
      <c r="M13" s="13">
        <f>_xll.BDH("XOM US Equity","IS_NET_INTEREST_EXPENSE","FQ1 2001","FQ1 2001","Currency=USD","Period=FQ","BEST_FPERIOD_OVERRIDE=FQ","FILING_STATUS=OR","SCALING_FORMAT=MLN","FA_ADJUSTED=Adjusted","Sort=A","Dates=H","DateFormat=P","Fill=—","Direction=H","UseDPDF=Y")</f>
        <v>77</v>
      </c>
      <c r="N13" s="13">
        <f>_xll.BDH("XOM US Equity","IS_NET_INTEREST_EXPENSE","FQ2 2001","FQ2 2001","Currency=USD","Period=FQ","BEST_FPERIOD_OVERRIDE=FQ","FILING_STATUS=OR","SCALING_FORMAT=MLN","FA_ADJUSTED=Adjusted","Sort=A","Dates=H","DateFormat=P","Fill=—","Direction=H","UseDPDF=Y")</f>
        <v>70</v>
      </c>
      <c r="O13" s="13">
        <f>_xll.BDH("XOM US Equity","IS_NET_INTEREST_EXPENSE","FQ3 2001","FQ3 2001","Currency=USD","Period=FQ","BEST_FPERIOD_OVERRIDE=FQ","FILING_STATUS=OR","SCALING_FORMAT=MLN","FA_ADJUSTED=Adjusted","Sort=A","Dates=H","DateFormat=P","Fill=—","Direction=H","UseDPDF=Y")</f>
        <v>76</v>
      </c>
      <c r="P13" s="13">
        <f>_xll.BDH("XOM US Equity","IS_NET_INTEREST_EXPENSE","FQ4 2001","FQ4 2001","Currency=USD","Period=FQ","BEST_FPERIOD_OVERRIDE=FQ","FILING_STATUS=OR","SCALING_FORMAT=MLN","FA_ADJUSTED=Adjusted","Sort=A","Dates=H","DateFormat=P","Fill=—","Direction=H","UseDPDF=Y")</f>
        <v>70</v>
      </c>
      <c r="Q13" s="13">
        <f>_xll.BDH("XOM US Equity","IS_NET_INTEREST_EXPENSE","FQ1 2002","FQ1 2002","Currency=USD","Period=FQ","BEST_FPERIOD_OVERRIDE=FQ","FILING_STATUS=OR","SCALING_FORMAT=MLN","FA_ADJUSTED=Adjusted","Sort=A","Dates=H","DateFormat=P","Fill=—","Direction=H","UseDPDF=Y")</f>
        <v>88</v>
      </c>
      <c r="R13" s="13">
        <f>_xll.BDH("XOM US Equity","IS_NET_INTEREST_EXPENSE","FQ2 2002","FQ2 2002","Currency=USD","Period=FQ","BEST_FPERIOD_OVERRIDE=FQ","FILING_STATUS=OR","SCALING_FORMAT=MLN","FA_ADJUSTED=Adjusted","Sort=A","Dates=H","DateFormat=P","Fill=—","Direction=H","UseDPDF=Y")</f>
        <v>51</v>
      </c>
      <c r="S13" s="13">
        <f>_xll.BDH("XOM US Equity","IS_NET_INTEREST_EXPENSE","FQ3 2002","FQ3 2002","Currency=USD","Period=FQ","BEST_FPERIOD_OVERRIDE=FQ","FILING_STATUS=OR","SCALING_FORMAT=MLN","FA_ADJUSTED=Adjusted","Sort=A","Dates=H","DateFormat=P","Fill=—","Direction=H","UseDPDF=Y")</f>
        <v>51</v>
      </c>
      <c r="T13" s="13" t="str">
        <f>_xll.BDH("XOM US Equity","IS_NET_INTEREST_EXPENSE","FQ4 2002","FQ4 2002","Currency=USD","Period=FQ","BEST_FPERIOD_OVERRIDE=FQ","FILING_STATUS=OR","SCALING_FORMAT=MLN","FA_ADJUSTED=Adjusted","Sort=A","Dates=H","DateFormat=P","Fill=—","Direction=H","UseDPDF=Y")</f>
        <v>—</v>
      </c>
      <c r="U13" s="13">
        <f>_xll.BDH("XOM US Equity","IS_NET_INTEREST_EXPENSE","FQ1 2003","FQ1 2003","Currency=USD","Period=FQ","BEST_FPERIOD_OVERRIDE=FQ","FILING_STATUS=OR","SCALING_FORMAT=MLN","FA_ADJUSTED=Adjusted","Sort=A","Dates=H","DateFormat=P","Fill=—","Direction=H","UseDPDF=Y")</f>
        <v>42</v>
      </c>
      <c r="V13" s="13">
        <f>_xll.BDH("XOM US Equity","IS_NET_INTEREST_EXPENSE","FQ2 2003","FQ2 2003","Currency=USD","Period=FQ","BEST_FPERIOD_OVERRIDE=FQ","FILING_STATUS=OR","SCALING_FORMAT=MLN","FA_ADJUSTED=Adjusted","Sort=A","Dates=H","DateFormat=P","Fill=—","Direction=H","UseDPDF=Y")</f>
        <v>70</v>
      </c>
      <c r="W13" s="13">
        <f>_xll.BDH("XOM US Equity","IS_NET_INTEREST_EXPENSE","FQ3 2003","FQ3 2003","Currency=USD","Period=FQ","BEST_FPERIOD_OVERRIDE=FQ","FILING_STATUS=OR","SCALING_FORMAT=MLN","FA_ADJUSTED=Adjusted","Sort=A","Dates=H","DateFormat=P","Fill=—","Direction=H","UseDPDF=Y")</f>
        <v>41</v>
      </c>
      <c r="X13" s="13">
        <f>_xll.BDH("XOM US Equity","IS_NET_INTEREST_EXPENSE","FQ4 2003","FQ4 2003","Currency=USD","Period=FQ","BEST_FPERIOD_OVERRIDE=FQ","FILING_STATUS=OR","SCALING_FORMAT=MLN","FA_ADJUSTED=Adjusted","Sort=A","Dates=H","DateFormat=P","Fill=—","Direction=H","UseDPDF=Y")</f>
        <v>54</v>
      </c>
      <c r="Y13" s="13">
        <f>_xll.BDH("XOM US Equity","IS_NET_INTEREST_EXPENSE","FQ1 2004","FQ1 2004","Currency=USD","Period=FQ","BEST_FPERIOD_OVERRIDE=FQ","FILING_STATUS=OR","SCALING_FORMAT=MLN","FA_ADJUSTED=Adjusted","Sort=A","Dates=H","DateFormat=P","Fill=—","Direction=H","UseDPDF=Y")</f>
        <v>48</v>
      </c>
      <c r="Z13" s="13">
        <f>_xll.BDH("XOM US Equity","IS_NET_INTEREST_EXPENSE","FQ2 2004","FQ2 2004","Currency=USD","Period=FQ","BEST_FPERIOD_OVERRIDE=FQ","FILING_STATUS=OR","SCALING_FORMAT=MLN","FA_ADJUSTED=Adjusted","Sort=A","Dates=H","DateFormat=P","Fill=—","Direction=H","UseDPDF=Y")</f>
        <v>50</v>
      </c>
      <c r="AA13" s="13">
        <f>_xll.BDH("XOM US Equity","IS_NET_INTEREST_EXPENSE","FQ3 2004","FQ3 2004","Currency=USD","Period=FQ","BEST_FPERIOD_OVERRIDE=FQ","FILING_STATUS=OR","SCALING_FORMAT=MLN","FA_ADJUSTED=Adjusted","Sort=A","Dates=H","DateFormat=P","Fill=—","Direction=H","UseDPDF=Y")</f>
        <v>459</v>
      </c>
      <c r="AB13" s="13" t="str">
        <f>_xll.BDH("XOM US Equity","IS_NET_INTEREST_EXPENSE","FQ4 2004","FQ4 2004","Currency=USD","Period=FQ","BEST_FPERIOD_OVERRIDE=FQ","FILING_STATUS=OR","SCALING_FORMAT=MLN","FA_ADJUSTED=Adjusted","Sort=A","Dates=H","DateFormat=P","Fill=—","Direction=H","UseDPDF=Y")</f>
        <v>—</v>
      </c>
      <c r="AC13" s="13">
        <f>_xll.BDH("XOM US Equity","IS_NET_INTEREST_EXPENSE","FQ1 2005","FQ1 2005","Currency=USD","Period=FQ","BEST_FPERIOD_OVERRIDE=FQ","FILING_STATUS=OR","SCALING_FORMAT=MLN","FA_ADJUSTED=Adjusted","Sort=A","Dates=H","DateFormat=P","Fill=—","Direction=H","UseDPDF=Y")</f>
        <v>56</v>
      </c>
      <c r="AD13" s="13">
        <f>_xll.BDH("XOM US Equity","IS_NET_INTEREST_EXPENSE","FQ2 2005","FQ2 2005","Currency=USD","Period=FQ","BEST_FPERIOD_OVERRIDE=FQ","FILING_STATUS=OR","SCALING_FORMAT=MLN","FA_ADJUSTED=Adjusted","Sort=A","Dates=H","DateFormat=P","Fill=—","Direction=H","UseDPDF=Y")</f>
        <v>244</v>
      </c>
      <c r="AE13" s="13">
        <f>_xll.BDH("XOM US Equity","IS_NET_INTEREST_EXPENSE","FQ3 2005","FQ3 2005","Currency=USD","Period=FQ","BEST_FPERIOD_OVERRIDE=FQ","FILING_STATUS=OR","SCALING_FORMAT=MLN","FA_ADJUSTED=Adjusted","Sort=A","Dates=H","DateFormat=P","Fill=—","Direction=H","UseDPDF=Y")</f>
        <v>73</v>
      </c>
      <c r="AF13" s="13">
        <f>_xll.BDH("XOM US Equity","IS_NET_INTEREST_EXPENSE","FQ4 2005","FQ4 2005","Currency=USD","Period=FQ","BEST_FPERIOD_OVERRIDE=FQ","FILING_STATUS=OR","SCALING_FORMAT=MLN","FA_ADJUSTED=Adjusted","Sort=A","Dates=H","DateFormat=P","Fill=—","Direction=H","UseDPDF=Y")</f>
        <v>123</v>
      </c>
      <c r="AG13" s="13">
        <f>_xll.BDH("XOM US Equity","IS_NET_INTEREST_EXPENSE","FQ1 2006","FQ1 2006","Currency=USD","Period=FQ","BEST_FPERIOD_OVERRIDE=FQ","FILING_STATUS=OR","SCALING_FORMAT=MLN","FA_ADJUSTED=Adjusted","Sort=A","Dates=H","DateFormat=P","Fill=—","Direction=H","UseDPDF=Y")</f>
        <v>165</v>
      </c>
      <c r="AH13" s="13">
        <f>_xll.BDH("XOM US Equity","IS_NET_INTEREST_EXPENSE","FQ2 2006","FQ2 2006","Currency=USD","Period=FQ","BEST_FPERIOD_OVERRIDE=FQ","FILING_STATUS=OR","SCALING_FORMAT=MLN","FA_ADJUSTED=Adjusted","Sort=A","Dates=H","DateFormat=P","Fill=—","Direction=H","UseDPDF=Y")</f>
        <v>107</v>
      </c>
      <c r="AI13" s="13">
        <f>_xll.BDH("XOM US Equity","IS_NET_INTEREST_EXPENSE","FQ3 2006","FQ3 2006","Currency=USD","Period=FQ","BEST_FPERIOD_OVERRIDE=FQ","FILING_STATUS=OR","SCALING_FORMAT=MLN","FA_ADJUSTED=Adjusted","Sort=A","Dates=H","DateFormat=P","Fill=—","Direction=H","UseDPDF=Y")</f>
        <v>281</v>
      </c>
      <c r="AJ13" s="13">
        <f>_xll.BDH("XOM US Equity","IS_NET_INTEREST_EXPENSE","FQ4 2006","FQ4 2006","Currency=USD","Period=FQ","BEST_FPERIOD_OVERRIDE=FQ","FILING_STATUS=OR","SCALING_FORMAT=MLN","FA_ADJUSTED=Adjusted","Sort=A","Dates=H","DateFormat=P","Fill=—","Direction=H","UseDPDF=Y")</f>
        <v>101</v>
      </c>
      <c r="AK13" s="13">
        <f>_xll.BDH("XOM US Equity","IS_NET_INTEREST_EXPENSE","FQ1 2007","FQ1 2007","Currency=USD","Period=FQ","BEST_FPERIOD_OVERRIDE=FQ","FILING_STATUS=OR","SCALING_FORMAT=MLN","FA_ADJUSTED=Adjusted","Sort=A","Dates=H","DateFormat=P","Fill=—","Direction=H","UseDPDF=Y")</f>
        <v>103</v>
      </c>
      <c r="AL13" s="13">
        <f>_xll.BDH("XOM US Equity","IS_NET_INTEREST_EXPENSE","FQ2 2007","FQ2 2007","Currency=USD","Period=FQ","BEST_FPERIOD_OVERRIDE=FQ","FILING_STATUS=OR","SCALING_FORMAT=MLN","FA_ADJUSTED=Adjusted","Sort=A","Dates=H","DateFormat=P","Fill=—","Direction=H","UseDPDF=Y")</f>
        <v>96</v>
      </c>
      <c r="AM13" s="13">
        <f>_xll.BDH("XOM US Equity","IS_NET_INTEREST_EXPENSE","FQ3 2007","FQ3 2007","Currency=USD","Period=FQ","BEST_FPERIOD_OVERRIDE=FQ","FILING_STATUS=OR","SCALING_FORMAT=MLN","FA_ADJUSTED=Adjusted","Sort=A","Dates=H","DateFormat=P","Fill=—","Direction=H","UseDPDF=Y")</f>
        <v>73</v>
      </c>
      <c r="AN13" s="13">
        <f>_xll.BDH("XOM US Equity","IS_NET_INTEREST_EXPENSE","FQ4 2007","FQ4 2007","Currency=USD","Period=FQ","BEST_FPERIOD_OVERRIDE=FQ","FILING_STATUS=OR","SCALING_FORMAT=MLN","FA_ADJUSTED=Adjusted","Sort=A","Dates=H","DateFormat=P","Fill=—","Direction=H","UseDPDF=Y")</f>
        <v>128</v>
      </c>
      <c r="AO13" s="13">
        <f>_xll.BDH("XOM US Equity","IS_NET_INTEREST_EXPENSE","FQ1 2008","FQ1 2008","Currency=USD","Period=FQ","BEST_FPERIOD_OVERRIDE=FQ","FILING_STATUS=OR","SCALING_FORMAT=MLN","FA_ADJUSTED=Adjusted","Sort=A","Dates=H","DateFormat=P","Fill=—","Direction=H","UseDPDF=Y")</f>
        <v>130</v>
      </c>
      <c r="AP13" s="13">
        <f>_xll.BDH("XOM US Equity","IS_NET_INTEREST_EXPENSE","FQ2 2008","FQ2 2008","Currency=USD","Period=FQ","BEST_FPERIOD_OVERRIDE=FQ","FILING_STATUS=OR","SCALING_FORMAT=MLN","FA_ADJUSTED=Adjusted","Sort=A","Dates=H","DateFormat=P","Fill=—","Direction=H","UseDPDF=Y")</f>
        <v>107</v>
      </c>
    </row>
    <row r="14" spans="1:42" x14ac:dyDescent="0.25">
      <c r="A14" s="11" t="s">
        <v>102</v>
      </c>
      <c r="B14" s="11" t="s">
        <v>103</v>
      </c>
      <c r="C14" s="18">
        <f>_xll.BDH("XOM US Equity","IS_INT_EXPENSE","FQ3 1998","FQ3 1998","Currency=USD","Period=FQ","BEST_FPERIOD_OVERRIDE=FQ","FILING_STATUS=OR","SCALING_FORMAT=MLN","FA_ADJUSTED=Adjusted","Sort=A","Dates=H","DateFormat=P","Fill=—","Direction=H","UseDPDF=Y")</f>
        <v>42</v>
      </c>
      <c r="D14" s="18" t="str">
        <f>_xll.BDH("XOM US Equity","IS_INT_EXPENSE","FQ4 1998","FQ4 1998","Currency=USD","Period=FQ","BEST_FPERIOD_OVERRIDE=FQ","FILING_STATUS=OR","SCALING_FORMAT=MLN","FA_ADJUSTED=Adjusted","Sort=A","Dates=H","DateFormat=P","Fill=—","Direction=H","UseDPDF=Y")</f>
        <v>—</v>
      </c>
      <c r="E14" s="18">
        <f>_xll.BDH("XOM US Equity","IS_INT_EXPENSE","FQ1 1999","FQ1 1999","Currency=USD","Period=FQ","BEST_FPERIOD_OVERRIDE=FQ","FILING_STATUS=OR","SCALING_FORMAT=MLN","FA_ADJUSTED=Adjusted","Sort=A","Dates=H","DateFormat=P","Fill=—","Direction=H","UseDPDF=Y")</f>
        <v>94</v>
      </c>
      <c r="F14" s="18">
        <f>_xll.BDH("XOM US Equity","IS_INT_EXPENSE","FQ2 1999","FQ2 1999","Currency=USD","Period=FQ","BEST_FPERIOD_OVERRIDE=FQ","FILING_STATUS=OR","SCALING_FORMAT=MLN","FA_ADJUSTED=Adjusted","Sort=A","Dates=H","DateFormat=P","Fill=—","Direction=H","UseDPDF=Y")</f>
        <v>45</v>
      </c>
      <c r="G14" s="18">
        <f>_xll.BDH("XOM US Equity","IS_INT_EXPENSE","FQ3 1999","FQ3 1999","Currency=USD","Period=FQ","BEST_FPERIOD_OVERRIDE=FQ","FILING_STATUS=OR","SCALING_FORMAT=MLN","FA_ADJUSTED=Adjusted","Sort=A","Dates=H","DateFormat=P","Fill=—","Direction=H","UseDPDF=Y")</f>
        <v>58</v>
      </c>
      <c r="H14" s="18">
        <f>_xll.BDH("XOM US Equity","IS_INT_EXPENSE","FQ4 1999","FQ4 1999","Currency=USD","Period=FQ","BEST_FPERIOD_OVERRIDE=FQ","FILING_STATUS=OR","SCALING_FORMAT=MLN","FA_ADJUSTED=Adjusted","Sort=A","Dates=H","DateFormat=P","Fill=—","Direction=H","UseDPDF=Y")</f>
        <v>498</v>
      </c>
      <c r="I14" s="18">
        <f>_xll.BDH("XOM US Equity","IS_INT_EXPENSE","FQ1 2000","FQ1 2000","Currency=USD","Period=FQ","BEST_FPERIOD_OVERRIDE=FQ","FILING_STATUS=OR","SCALING_FORMAT=MLN","FA_ADJUSTED=Adjusted","Sort=A","Dates=H","DateFormat=P","Fill=—","Direction=H","UseDPDF=Y")</f>
        <v>174</v>
      </c>
      <c r="J14" s="18">
        <f>_xll.BDH("XOM US Equity","IS_INT_EXPENSE","FQ2 2000","FQ2 2000","Currency=USD","Period=FQ","BEST_FPERIOD_OVERRIDE=FQ","FILING_STATUS=OR","SCALING_FORMAT=MLN","FA_ADJUSTED=Adjusted","Sort=A","Dates=H","DateFormat=P","Fill=—","Direction=H","UseDPDF=Y")</f>
        <v>126</v>
      </c>
      <c r="K14" s="18">
        <f>_xll.BDH("XOM US Equity","IS_INT_EXPENSE","FQ3 2000","FQ3 2000","Currency=USD","Period=FQ","BEST_FPERIOD_OVERRIDE=FQ","FILING_STATUS=OR","SCALING_FORMAT=MLN","FA_ADJUSTED=Adjusted","Sort=A","Dates=H","DateFormat=P","Fill=—","Direction=H","UseDPDF=Y")</f>
        <v>108</v>
      </c>
      <c r="L14" s="18">
        <f>_xll.BDH("XOM US Equity","IS_INT_EXPENSE","FQ4 2000","FQ4 2000","Currency=USD","Period=FQ","BEST_FPERIOD_OVERRIDE=FQ","FILING_STATUS=OR","SCALING_FORMAT=MLN","FA_ADJUSTED=Adjusted","Sort=A","Dates=H","DateFormat=P","Fill=—","Direction=H","UseDPDF=Y")</f>
        <v>181</v>
      </c>
      <c r="M14" s="18">
        <f>_xll.BDH("XOM US Equity","IS_INT_EXPENSE","FQ1 2001","FQ1 2001","Currency=USD","Period=FQ","BEST_FPERIOD_OVERRIDE=FQ","FILING_STATUS=OR","SCALING_FORMAT=MLN","FA_ADJUSTED=Adjusted","Sort=A","Dates=H","DateFormat=P","Fill=—","Direction=H","UseDPDF=Y")</f>
        <v>77</v>
      </c>
      <c r="N14" s="18">
        <f>_xll.BDH("XOM US Equity","IS_INT_EXPENSE","FQ2 2001","FQ2 2001","Currency=USD","Period=FQ","BEST_FPERIOD_OVERRIDE=FQ","FILING_STATUS=OR","SCALING_FORMAT=MLN","FA_ADJUSTED=Adjusted","Sort=A","Dates=H","DateFormat=P","Fill=—","Direction=H","UseDPDF=Y")</f>
        <v>70</v>
      </c>
      <c r="O14" s="18">
        <f>_xll.BDH("XOM US Equity","IS_INT_EXPENSE","FQ3 2001","FQ3 2001","Currency=USD","Period=FQ","BEST_FPERIOD_OVERRIDE=FQ","FILING_STATUS=OR","SCALING_FORMAT=MLN","FA_ADJUSTED=Adjusted","Sort=A","Dates=H","DateFormat=P","Fill=—","Direction=H","UseDPDF=Y")</f>
        <v>76</v>
      </c>
      <c r="P14" s="18">
        <f>_xll.BDH("XOM US Equity","IS_INT_EXPENSE","FQ4 2001","FQ4 2001","Currency=USD","Period=FQ","BEST_FPERIOD_OVERRIDE=FQ","FILING_STATUS=OR","SCALING_FORMAT=MLN","FA_ADJUSTED=Adjusted","Sort=A","Dates=H","DateFormat=P","Fill=—","Direction=H","UseDPDF=Y")</f>
        <v>70</v>
      </c>
      <c r="Q14" s="18">
        <f>_xll.BDH("XOM US Equity","IS_INT_EXPENSE","FQ1 2002","FQ1 2002","Currency=USD","Period=FQ","BEST_FPERIOD_OVERRIDE=FQ","FILING_STATUS=OR","SCALING_FORMAT=MLN","FA_ADJUSTED=Adjusted","Sort=A","Dates=H","DateFormat=P","Fill=—","Direction=H","UseDPDF=Y")</f>
        <v>88</v>
      </c>
      <c r="R14" s="18">
        <f>_xll.BDH("XOM US Equity","IS_INT_EXPENSE","FQ2 2002","FQ2 2002","Currency=USD","Period=FQ","BEST_FPERIOD_OVERRIDE=FQ","FILING_STATUS=OR","SCALING_FORMAT=MLN","FA_ADJUSTED=Adjusted","Sort=A","Dates=H","DateFormat=P","Fill=—","Direction=H","UseDPDF=Y")</f>
        <v>51</v>
      </c>
      <c r="S14" s="18">
        <f>_xll.BDH("XOM US Equity","IS_INT_EXPENSE","FQ3 2002","FQ3 2002","Currency=USD","Period=FQ","BEST_FPERIOD_OVERRIDE=FQ","FILING_STATUS=OR","SCALING_FORMAT=MLN","FA_ADJUSTED=Adjusted","Sort=A","Dates=H","DateFormat=P","Fill=—","Direction=H","UseDPDF=Y")</f>
        <v>51</v>
      </c>
      <c r="T14" s="18">
        <f>_xll.BDH("XOM US Equity","IS_INT_EXPENSE","FQ4 2002","FQ4 2002","Currency=USD","Period=FQ","BEST_FPERIOD_OVERRIDE=FQ","FILING_STATUS=OR","SCALING_FORMAT=MLN","FA_ADJUSTED=Adjusted","Sort=A","Dates=H","DateFormat=P","Fill=—","Direction=H","UseDPDF=Y")</f>
        <v>208</v>
      </c>
      <c r="U14" s="18">
        <f>_xll.BDH("XOM US Equity","IS_INT_EXPENSE","FQ1 2003","FQ1 2003","Currency=USD","Period=FQ","BEST_FPERIOD_OVERRIDE=FQ","FILING_STATUS=OR","SCALING_FORMAT=MLN","FA_ADJUSTED=Adjusted","Sort=A","Dates=H","DateFormat=P","Fill=—","Direction=H","UseDPDF=Y")</f>
        <v>42</v>
      </c>
      <c r="V14" s="18">
        <f>_xll.BDH("XOM US Equity","IS_INT_EXPENSE","FQ2 2003","FQ2 2003","Currency=USD","Period=FQ","BEST_FPERIOD_OVERRIDE=FQ","FILING_STATUS=OR","SCALING_FORMAT=MLN","FA_ADJUSTED=Adjusted","Sort=A","Dates=H","DateFormat=P","Fill=—","Direction=H","UseDPDF=Y")</f>
        <v>70</v>
      </c>
      <c r="W14" s="18">
        <f>_xll.BDH("XOM US Equity","IS_INT_EXPENSE","FQ3 2003","FQ3 2003","Currency=USD","Period=FQ","BEST_FPERIOD_OVERRIDE=FQ","FILING_STATUS=OR","SCALING_FORMAT=MLN","FA_ADJUSTED=Adjusted","Sort=A","Dates=H","DateFormat=P","Fill=—","Direction=H","UseDPDF=Y")</f>
        <v>41</v>
      </c>
      <c r="X14" s="18">
        <f>_xll.BDH("XOM US Equity","IS_INT_EXPENSE","FQ4 2003","FQ4 2003","Currency=USD","Period=FQ","BEST_FPERIOD_OVERRIDE=FQ","FILING_STATUS=OR","SCALING_FORMAT=MLN","FA_ADJUSTED=Adjusted","Sort=A","Dates=H","DateFormat=P","Fill=—","Direction=H","UseDPDF=Y")</f>
        <v>54</v>
      </c>
      <c r="Y14" s="18">
        <f>_xll.BDH("XOM US Equity","IS_INT_EXPENSE","FQ1 2004","FQ1 2004","Currency=USD","Period=FQ","BEST_FPERIOD_OVERRIDE=FQ","FILING_STATUS=OR","SCALING_FORMAT=MLN","FA_ADJUSTED=Adjusted","Sort=A","Dates=H","DateFormat=P","Fill=—","Direction=H","UseDPDF=Y")</f>
        <v>48</v>
      </c>
      <c r="Z14" s="18">
        <f>_xll.BDH("XOM US Equity","IS_INT_EXPENSE","FQ2 2004","FQ2 2004","Currency=USD","Period=FQ","BEST_FPERIOD_OVERRIDE=FQ","FILING_STATUS=OR","SCALING_FORMAT=MLN","FA_ADJUSTED=Adjusted","Sort=A","Dates=H","DateFormat=P","Fill=—","Direction=H","UseDPDF=Y")</f>
        <v>50</v>
      </c>
      <c r="AA14" s="18">
        <f>_xll.BDH("XOM US Equity","IS_INT_EXPENSE","FQ3 2004","FQ3 2004","Currency=USD","Period=FQ","BEST_FPERIOD_OVERRIDE=FQ","FILING_STATUS=OR","SCALING_FORMAT=MLN","FA_ADJUSTED=Adjusted","Sort=A","Dates=H","DateFormat=P","Fill=—","Direction=H","UseDPDF=Y")</f>
        <v>459</v>
      </c>
      <c r="AB14" s="18">
        <f>_xll.BDH("XOM US Equity","IS_INT_EXPENSE","FQ4 2004","FQ4 2004","Currency=USD","Period=FQ","BEST_FPERIOD_OVERRIDE=FQ","FILING_STATUS=OR","SCALING_FORMAT=MLN","FA_ADJUSTED=Adjusted","Sort=A","Dates=H","DateFormat=P","Fill=—","Direction=H","UseDPDF=Y")</f>
        <v>81</v>
      </c>
      <c r="AC14" s="18">
        <f>_xll.BDH("XOM US Equity","IS_INT_EXPENSE","FQ1 2005","FQ1 2005","Currency=USD","Period=FQ","BEST_FPERIOD_OVERRIDE=FQ","FILING_STATUS=OR","SCALING_FORMAT=MLN","FA_ADJUSTED=Adjusted","Sort=A","Dates=H","DateFormat=P","Fill=—","Direction=H","UseDPDF=Y")</f>
        <v>56</v>
      </c>
      <c r="AD14" s="18">
        <f>_xll.BDH("XOM US Equity","IS_INT_EXPENSE","FQ2 2005","FQ2 2005","Currency=USD","Period=FQ","BEST_FPERIOD_OVERRIDE=FQ","FILING_STATUS=OR","SCALING_FORMAT=MLN","FA_ADJUSTED=Adjusted","Sort=A","Dates=H","DateFormat=P","Fill=—","Direction=H","UseDPDF=Y")</f>
        <v>244</v>
      </c>
      <c r="AE14" s="18">
        <f>_xll.BDH("XOM US Equity","IS_INT_EXPENSE","FQ3 2005","FQ3 2005","Currency=USD","Period=FQ","BEST_FPERIOD_OVERRIDE=FQ","FILING_STATUS=OR","SCALING_FORMAT=MLN","FA_ADJUSTED=Adjusted","Sort=A","Dates=H","DateFormat=P","Fill=—","Direction=H","UseDPDF=Y")</f>
        <v>73</v>
      </c>
      <c r="AF14" s="18">
        <f>_xll.BDH("XOM US Equity","IS_INT_EXPENSE","FQ4 2005","FQ4 2005","Currency=USD","Period=FQ","BEST_FPERIOD_OVERRIDE=FQ","FILING_STATUS=OR","SCALING_FORMAT=MLN","FA_ADJUSTED=Adjusted","Sort=A","Dates=H","DateFormat=P","Fill=—","Direction=H","UseDPDF=Y")</f>
        <v>123</v>
      </c>
      <c r="AG14" s="18">
        <f>_xll.BDH("XOM US Equity","IS_INT_EXPENSE","FQ1 2006","FQ1 2006","Currency=USD","Period=FQ","BEST_FPERIOD_OVERRIDE=FQ","FILING_STATUS=OR","SCALING_FORMAT=MLN","FA_ADJUSTED=Adjusted","Sort=A","Dates=H","DateFormat=P","Fill=—","Direction=H","UseDPDF=Y")</f>
        <v>165</v>
      </c>
      <c r="AH14" s="18">
        <f>_xll.BDH("XOM US Equity","IS_INT_EXPENSE","FQ2 2006","FQ2 2006","Currency=USD","Period=FQ","BEST_FPERIOD_OVERRIDE=FQ","FILING_STATUS=OR","SCALING_FORMAT=MLN","FA_ADJUSTED=Adjusted","Sort=A","Dates=H","DateFormat=P","Fill=—","Direction=H","UseDPDF=Y")</f>
        <v>107</v>
      </c>
      <c r="AI14" s="18">
        <f>_xll.BDH("XOM US Equity","IS_INT_EXPENSE","FQ3 2006","FQ3 2006","Currency=USD","Period=FQ","BEST_FPERIOD_OVERRIDE=FQ","FILING_STATUS=OR","SCALING_FORMAT=MLN","FA_ADJUSTED=Adjusted","Sort=A","Dates=H","DateFormat=P","Fill=—","Direction=H","UseDPDF=Y")</f>
        <v>281</v>
      </c>
      <c r="AJ14" s="18">
        <f>_xll.BDH("XOM US Equity","IS_INT_EXPENSE","FQ4 2006","FQ4 2006","Currency=USD","Period=FQ","BEST_FPERIOD_OVERRIDE=FQ","FILING_STATUS=OR","SCALING_FORMAT=MLN","FA_ADJUSTED=Adjusted","Sort=A","Dates=H","DateFormat=P","Fill=—","Direction=H","UseDPDF=Y")</f>
        <v>101</v>
      </c>
      <c r="AK14" s="18">
        <f>_xll.BDH("XOM US Equity","IS_INT_EXPENSE","FQ1 2007","FQ1 2007","Currency=USD","Period=FQ","BEST_FPERIOD_OVERRIDE=FQ","FILING_STATUS=OR","SCALING_FORMAT=MLN","FA_ADJUSTED=Adjusted","Sort=A","Dates=H","DateFormat=P","Fill=—","Direction=H","UseDPDF=Y")</f>
        <v>103</v>
      </c>
      <c r="AL14" s="18">
        <f>_xll.BDH("XOM US Equity","IS_INT_EXPENSE","FQ2 2007","FQ2 2007","Currency=USD","Period=FQ","BEST_FPERIOD_OVERRIDE=FQ","FILING_STATUS=OR","SCALING_FORMAT=MLN","FA_ADJUSTED=Adjusted","Sort=A","Dates=H","DateFormat=P","Fill=—","Direction=H","UseDPDF=Y")</f>
        <v>96</v>
      </c>
      <c r="AM14" s="18">
        <f>_xll.BDH("XOM US Equity","IS_INT_EXPENSE","FQ3 2007","FQ3 2007","Currency=USD","Period=FQ","BEST_FPERIOD_OVERRIDE=FQ","FILING_STATUS=OR","SCALING_FORMAT=MLN","FA_ADJUSTED=Adjusted","Sort=A","Dates=H","DateFormat=P","Fill=—","Direction=H","UseDPDF=Y")</f>
        <v>73</v>
      </c>
      <c r="AN14" s="18">
        <f>_xll.BDH("XOM US Equity","IS_INT_EXPENSE","FQ4 2007","FQ4 2007","Currency=USD","Period=FQ","BEST_FPERIOD_OVERRIDE=FQ","FILING_STATUS=OR","SCALING_FORMAT=MLN","FA_ADJUSTED=Adjusted","Sort=A","Dates=H","DateFormat=P","Fill=—","Direction=H","UseDPDF=Y")</f>
        <v>128</v>
      </c>
      <c r="AO14" s="18">
        <f>_xll.BDH("XOM US Equity","IS_INT_EXPENSE","FQ1 2008","FQ1 2008","Currency=USD","Period=FQ","BEST_FPERIOD_OVERRIDE=FQ","FILING_STATUS=OR","SCALING_FORMAT=MLN","FA_ADJUSTED=Adjusted","Sort=A","Dates=H","DateFormat=P","Fill=—","Direction=H","UseDPDF=Y")</f>
        <v>130</v>
      </c>
      <c r="AP14" s="18">
        <f>_xll.BDH("XOM US Equity","IS_INT_EXPENSE","FQ2 2008","FQ2 2008","Currency=USD","Period=FQ","BEST_FPERIOD_OVERRIDE=FQ","FILING_STATUS=OR","SCALING_FORMAT=MLN","FA_ADJUSTED=Adjusted","Sort=A","Dates=H","DateFormat=P","Fill=—","Direction=H","UseDPDF=Y")</f>
        <v>107</v>
      </c>
    </row>
    <row r="15" spans="1:42" x14ac:dyDescent="0.25">
      <c r="A15" s="10" t="s">
        <v>104</v>
      </c>
      <c r="B15" s="10" t="s">
        <v>105</v>
      </c>
      <c r="C15" s="13" t="str">
        <f>_xll.BDH("XOM US Equity","IS_FOREIGN_EXCH_LOSS","FQ3 1998","FQ3 1998","Currency=USD","Period=FQ","BEST_FPERIOD_OVERRIDE=FQ","FILING_STATUS=OR","SCALING_FORMAT=MLN","FA_ADJUSTED=Adjusted","Sort=A","Dates=H","DateFormat=P","Fill=—","Direction=H","UseDPDF=Y")</f>
        <v>—</v>
      </c>
      <c r="D15" s="13" t="str">
        <f>_xll.BDH("XOM US Equity","IS_FOREIGN_EXCH_LOSS","FQ4 1998","FQ4 1998","Currency=USD","Period=FQ","BEST_FPERIOD_OVERRIDE=FQ","FILING_STATUS=OR","SCALING_FORMAT=MLN","FA_ADJUSTED=Adjusted","Sort=A","Dates=H","DateFormat=P","Fill=—","Direction=H","UseDPDF=Y")</f>
        <v>—</v>
      </c>
      <c r="E15" s="13" t="str">
        <f>_xll.BDH("XOM US Equity","IS_FOREIGN_EXCH_LOSS","FQ1 1999","FQ1 1999","Currency=USD","Period=FQ","BEST_FPERIOD_OVERRIDE=FQ","FILING_STATUS=OR","SCALING_FORMAT=MLN","FA_ADJUSTED=Adjusted","Sort=A","Dates=H","DateFormat=P","Fill=—","Direction=H","UseDPDF=Y")</f>
        <v>—</v>
      </c>
      <c r="F15" s="13" t="str">
        <f>_xll.BDH("XOM US Equity","IS_FOREIGN_EXCH_LOSS","FQ2 1999","FQ2 1999","Currency=USD","Period=FQ","BEST_FPERIOD_OVERRIDE=FQ","FILING_STATUS=OR","SCALING_FORMAT=MLN","FA_ADJUSTED=Adjusted","Sort=A","Dates=H","DateFormat=P","Fill=—","Direction=H","UseDPDF=Y")</f>
        <v>—</v>
      </c>
      <c r="G15" s="13" t="str">
        <f>_xll.BDH("XOM US Equity","IS_FOREIGN_EXCH_LOSS","FQ3 1999","FQ3 1999","Currency=USD","Period=FQ","BEST_FPERIOD_OVERRIDE=FQ","FILING_STATUS=OR","SCALING_FORMAT=MLN","FA_ADJUSTED=Adjusted","Sort=A","Dates=H","DateFormat=P","Fill=—","Direction=H","UseDPDF=Y")</f>
        <v>—</v>
      </c>
      <c r="H15" s="13" t="str">
        <f>_xll.BDH("XOM US Equity","IS_FOREIGN_EXCH_LOSS","FQ4 1999","FQ4 1999","Currency=USD","Period=FQ","BEST_FPERIOD_OVERRIDE=FQ","FILING_STATUS=OR","SCALING_FORMAT=MLN","FA_ADJUSTED=Adjusted","Sort=A","Dates=H","DateFormat=P","Fill=—","Direction=H","UseDPDF=Y")</f>
        <v>—</v>
      </c>
      <c r="I15" s="13" t="str">
        <f>_xll.BDH("XOM US Equity","IS_FOREIGN_EXCH_LOSS","FQ1 2000","FQ1 2000","Currency=USD","Period=FQ","BEST_FPERIOD_OVERRIDE=FQ","FILING_STATUS=OR","SCALING_FORMAT=MLN","FA_ADJUSTED=Adjusted","Sort=A","Dates=H","DateFormat=P","Fill=—","Direction=H","UseDPDF=Y")</f>
        <v>—</v>
      </c>
      <c r="J15" s="13" t="str">
        <f>_xll.BDH("XOM US Equity","IS_FOREIGN_EXCH_LOSS","FQ2 2000","FQ2 2000","Currency=USD","Period=FQ","BEST_FPERIOD_OVERRIDE=FQ","FILING_STATUS=OR","SCALING_FORMAT=MLN","FA_ADJUSTED=Adjusted","Sort=A","Dates=H","DateFormat=P","Fill=—","Direction=H","UseDPDF=Y")</f>
        <v>—</v>
      </c>
      <c r="K15" s="13" t="str">
        <f>_xll.BDH("XOM US Equity","IS_FOREIGN_EXCH_LOSS","FQ3 2000","FQ3 2000","Currency=USD","Period=FQ","BEST_FPERIOD_OVERRIDE=FQ","FILING_STATUS=OR","SCALING_FORMAT=MLN","FA_ADJUSTED=Adjusted","Sort=A","Dates=H","DateFormat=P","Fill=—","Direction=H","UseDPDF=Y")</f>
        <v>—</v>
      </c>
      <c r="L15" s="13" t="str">
        <f>_xll.BDH("XOM US Equity","IS_FOREIGN_EXCH_LOSS","FQ4 2000","FQ4 2000","Currency=USD","Period=FQ","BEST_FPERIOD_OVERRIDE=FQ","FILING_STATUS=OR","SCALING_FORMAT=MLN","FA_ADJUSTED=Adjusted","Sort=A","Dates=H","DateFormat=P","Fill=—","Direction=H","UseDPDF=Y")</f>
        <v>—</v>
      </c>
      <c r="M15" s="13" t="str">
        <f>_xll.BDH("XOM US Equity","IS_FOREIGN_EXCH_LOSS","FQ1 2001","FQ1 2001","Currency=USD","Period=FQ","BEST_FPERIOD_OVERRIDE=FQ","FILING_STATUS=OR","SCALING_FORMAT=MLN","FA_ADJUSTED=Adjusted","Sort=A","Dates=H","DateFormat=P","Fill=—","Direction=H","UseDPDF=Y")</f>
        <v>—</v>
      </c>
      <c r="N15" s="13" t="str">
        <f>_xll.BDH("XOM US Equity","IS_FOREIGN_EXCH_LOSS","FQ2 2001","FQ2 2001","Currency=USD","Period=FQ","BEST_FPERIOD_OVERRIDE=FQ","FILING_STATUS=OR","SCALING_FORMAT=MLN","FA_ADJUSTED=Adjusted","Sort=A","Dates=H","DateFormat=P","Fill=—","Direction=H","UseDPDF=Y")</f>
        <v>—</v>
      </c>
      <c r="O15" s="13" t="str">
        <f>_xll.BDH("XOM US Equity","IS_FOREIGN_EXCH_LOSS","FQ3 2001","FQ3 2001","Currency=USD","Period=FQ","BEST_FPERIOD_OVERRIDE=FQ","FILING_STATUS=OR","SCALING_FORMAT=MLN","FA_ADJUSTED=Adjusted","Sort=A","Dates=H","DateFormat=P","Fill=—","Direction=H","UseDPDF=Y")</f>
        <v>—</v>
      </c>
      <c r="P15" s="13" t="str">
        <f>_xll.BDH("XOM US Equity","IS_FOREIGN_EXCH_LOSS","FQ4 2001","FQ4 2001","Currency=USD","Period=FQ","BEST_FPERIOD_OVERRIDE=FQ","FILING_STATUS=OR","SCALING_FORMAT=MLN","FA_ADJUSTED=Adjusted","Sort=A","Dates=H","DateFormat=P","Fill=—","Direction=H","UseDPDF=Y")</f>
        <v>—</v>
      </c>
      <c r="Q15" s="13" t="str">
        <f>_xll.BDH("XOM US Equity","IS_FOREIGN_EXCH_LOSS","FQ1 2002","FQ1 2002","Currency=USD","Period=FQ","BEST_FPERIOD_OVERRIDE=FQ","FILING_STATUS=OR","SCALING_FORMAT=MLN","FA_ADJUSTED=Adjusted","Sort=A","Dates=H","DateFormat=P","Fill=—","Direction=H","UseDPDF=Y")</f>
        <v>—</v>
      </c>
      <c r="R15" s="13" t="str">
        <f>_xll.BDH("XOM US Equity","IS_FOREIGN_EXCH_LOSS","FQ2 2002","FQ2 2002","Currency=USD","Period=FQ","BEST_FPERIOD_OVERRIDE=FQ","FILING_STATUS=OR","SCALING_FORMAT=MLN","FA_ADJUSTED=Adjusted","Sort=A","Dates=H","DateFormat=P","Fill=—","Direction=H","UseDPDF=Y")</f>
        <v>—</v>
      </c>
      <c r="S15" s="13" t="str">
        <f>_xll.BDH("XOM US Equity","IS_FOREIGN_EXCH_LOSS","FQ3 2002","FQ3 2002","Currency=USD","Period=FQ","BEST_FPERIOD_OVERRIDE=FQ","FILING_STATUS=OR","SCALING_FORMAT=MLN","FA_ADJUSTED=Adjusted","Sort=A","Dates=H","DateFormat=P","Fill=—","Direction=H","UseDPDF=Y")</f>
        <v>—</v>
      </c>
      <c r="T15" s="13" t="str">
        <f>_xll.BDH("XOM US Equity","IS_FOREIGN_EXCH_LOSS","FQ4 2002","FQ4 2002","Currency=USD","Period=FQ","BEST_FPERIOD_OVERRIDE=FQ","FILING_STATUS=OR","SCALING_FORMAT=MLN","FA_ADJUSTED=Adjusted","Sort=A","Dates=H","DateFormat=P","Fill=—","Direction=H","UseDPDF=Y")</f>
        <v>—</v>
      </c>
      <c r="U15" s="13" t="str">
        <f>_xll.BDH("XOM US Equity","IS_FOREIGN_EXCH_LOSS","FQ1 2003","FQ1 2003","Currency=USD","Period=FQ","BEST_FPERIOD_OVERRIDE=FQ","FILING_STATUS=OR","SCALING_FORMAT=MLN","FA_ADJUSTED=Adjusted","Sort=A","Dates=H","DateFormat=P","Fill=—","Direction=H","UseDPDF=Y")</f>
        <v>—</v>
      </c>
      <c r="V15" s="13" t="str">
        <f>_xll.BDH("XOM US Equity","IS_FOREIGN_EXCH_LOSS","FQ2 2003","FQ2 2003","Currency=USD","Period=FQ","BEST_FPERIOD_OVERRIDE=FQ","FILING_STATUS=OR","SCALING_FORMAT=MLN","FA_ADJUSTED=Adjusted","Sort=A","Dates=H","DateFormat=P","Fill=—","Direction=H","UseDPDF=Y")</f>
        <v>—</v>
      </c>
      <c r="W15" s="13" t="str">
        <f>_xll.BDH("XOM US Equity","IS_FOREIGN_EXCH_LOSS","FQ3 2003","FQ3 2003","Currency=USD","Period=FQ","BEST_FPERIOD_OVERRIDE=FQ","FILING_STATUS=OR","SCALING_FORMAT=MLN","FA_ADJUSTED=Adjusted","Sort=A","Dates=H","DateFormat=P","Fill=—","Direction=H","UseDPDF=Y")</f>
        <v>—</v>
      </c>
      <c r="X15" s="13" t="str">
        <f>_xll.BDH("XOM US Equity","IS_FOREIGN_EXCH_LOSS","FQ4 2003","FQ4 2003","Currency=USD","Period=FQ","BEST_FPERIOD_OVERRIDE=FQ","FILING_STATUS=OR","SCALING_FORMAT=MLN","FA_ADJUSTED=Adjusted","Sort=A","Dates=H","DateFormat=P","Fill=—","Direction=H","UseDPDF=Y")</f>
        <v>—</v>
      </c>
      <c r="Y15" s="13" t="str">
        <f>_xll.BDH("XOM US Equity","IS_FOREIGN_EXCH_LOSS","FQ1 2004","FQ1 2004","Currency=USD","Period=FQ","BEST_FPERIOD_OVERRIDE=FQ","FILING_STATUS=OR","SCALING_FORMAT=MLN","FA_ADJUSTED=Adjusted","Sort=A","Dates=H","DateFormat=P","Fill=—","Direction=H","UseDPDF=Y")</f>
        <v>—</v>
      </c>
      <c r="Z15" s="13" t="str">
        <f>_xll.BDH("XOM US Equity","IS_FOREIGN_EXCH_LOSS","FQ2 2004","FQ2 2004","Currency=USD","Period=FQ","BEST_FPERIOD_OVERRIDE=FQ","FILING_STATUS=OR","SCALING_FORMAT=MLN","FA_ADJUSTED=Adjusted","Sort=A","Dates=H","DateFormat=P","Fill=—","Direction=H","UseDPDF=Y")</f>
        <v>—</v>
      </c>
      <c r="AA15" s="13" t="str">
        <f>_xll.BDH("XOM US Equity","IS_FOREIGN_EXCH_LOSS","FQ3 2004","FQ3 2004","Currency=USD","Period=FQ","BEST_FPERIOD_OVERRIDE=FQ","FILING_STATUS=OR","SCALING_FORMAT=MLN","FA_ADJUSTED=Adjusted","Sort=A","Dates=H","DateFormat=P","Fill=—","Direction=H","UseDPDF=Y")</f>
        <v>—</v>
      </c>
      <c r="AB15" s="13">
        <f>_xll.BDH("XOM US Equity","IS_FOREIGN_EXCH_LOSS","FQ4 2004","FQ4 2004","Currency=USD","Period=FQ","BEST_FPERIOD_OVERRIDE=FQ","FILING_STATUS=OR","SCALING_FORMAT=MLN","FA_ADJUSTED=Adjusted","Sort=A","Dates=H","DateFormat=P","Fill=—","Direction=H","UseDPDF=Y")</f>
        <v>69</v>
      </c>
      <c r="AC15" s="13" t="str">
        <f>_xll.BDH("XOM US Equity","IS_FOREIGN_EXCH_LOSS","FQ1 2005","FQ1 2005","Currency=USD","Period=FQ","BEST_FPERIOD_OVERRIDE=FQ","FILING_STATUS=OR","SCALING_FORMAT=MLN","FA_ADJUSTED=Adjusted","Sort=A","Dates=H","DateFormat=P","Fill=—","Direction=H","UseDPDF=Y")</f>
        <v>—</v>
      </c>
      <c r="AD15" s="13" t="str">
        <f>_xll.BDH("XOM US Equity","IS_FOREIGN_EXCH_LOSS","FQ2 2005","FQ2 2005","Currency=USD","Period=FQ","BEST_FPERIOD_OVERRIDE=FQ","FILING_STATUS=OR","SCALING_FORMAT=MLN","FA_ADJUSTED=Adjusted","Sort=A","Dates=H","DateFormat=P","Fill=—","Direction=H","UseDPDF=Y")</f>
        <v>—</v>
      </c>
      <c r="AE15" s="13" t="str">
        <f>_xll.BDH("XOM US Equity","IS_FOREIGN_EXCH_LOSS","FQ3 2005","FQ3 2005","Currency=USD","Period=FQ","BEST_FPERIOD_OVERRIDE=FQ","FILING_STATUS=OR","SCALING_FORMAT=MLN","FA_ADJUSTED=Adjusted","Sort=A","Dates=H","DateFormat=P","Fill=—","Direction=H","UseDPDF=Y")</f>
        <v>—</v>
      </c>
      <c r="AF15" s="13">
        <f>_xll.BDH("XOM US Equity","IS_FOREIGN_EXCH_LOSS","FQ4 2005","FQ4 2005","Currency=USD","Period=FQ","BEST_FPERIOD_OVERRIDE=FQ","FILING_STATUS=OR","SCALING_FORMAT=MLN","FA_ADJUSTED=Adjusted","Sort=A","Dates=H","DateFormat=P","Fill=—","Direction=H","UseDPDF=Y")</f>
        <v>0</v>
      </c>
      <c r="AG15" s="13" t="str">
        <f>_xll.BDH("XOM US Equity","IS_FOREIGN_EXCH_LOSS","FQ1 2006","FQ1 2006","Currency=USD","Period=FQ","BEST_FPERIOD_OVERRIDE=FQ","FILING_STATUS=OR","SCALING_FORMAT=MLN","FA_ADJUSTED=Adjusted","Sort=A","Dates=H","DateFormat=P","Fill=—","Direction=H","UseDPDF=Y")</f>
        <v>—</v>
      </c>
      <c r="AH15" s="13" t="str">
        <f>_xll.BDH("XOM US Equity","IS_FOREIGN_EXCH_LOSS","FQ2 2006","FQ2 2006","Currency=USD","Period=FQ","BEST_FPERIOD_OVERRIDE=FQ","FILING_STATUS=OR","SCALING_FORMAT=MLN","FA_ADJUSTED=Adjusted","Sort=A","Dates=H","DateFormat=P","Fill=—","Direction=H","UseDPDF=Y")</f>
        <v>—</v>
      </c>
      <c r="AI15" s="13" t="str">
        <f>_xll.BDH("XOM US Equity","IS_FOREIGN_EXCH_LOSS","FQ3 2006","FQ3 2006","Currency=USD","Period=FQ","BEST_FPERIOD_OVERRIDE=FQ","FILING_STATUS=OR","SCALING_FORMAT=MLN","FA_ADJUSTED=Adjusted","Sort=A","Dates=H","DateFormat=P","Fill=—","Direction=H","UseDPDF=Y")</f>
        <v>—</v>
      </c>
      <c r="AJ15" s="13">
        <f>_xll.BDH("XOM US Equity","IS_FOREIGN_EXCH_LOSS","FQ4 2006","FQ4 2006","Currency=USD","Period=FQ","BEST_FPERIOD_OVERRIDE=FQ","FILING_STATUS=OR","SCALING_FORMAT=MLN","FA_ADJUSTED=Adjusted","Sort=A","Dates=H","DateFormat=P","Fill=—","Direction=H","UseDPDF=Y")</f>
        <v>0</v>
      </c>
      <c r="AK15" s="13">
        <f>_xll.BDH("XOM US Equity","IS_FOREIGN_EXCH_LOSS","FQ1 2007","FQ1 2007","Currency=USD","Period=FQ","BEST_FPERIOD_OVERRIDE=FQ","FILING_STATUS=OR","SCALING_FORMAT=MLN","FA_ADJUSTED=Adjusted","Sort=A","Dates=H","DateFormat=P","Fill=—","Direction=H","UseDPDF=Y")</f>
        <v>0</v>
      </c>
      <c r="AL15" s="13">
        <f>_xll.BDH("XOM US Equity","IS_FOREIGN_EXCH_LOSS","FQ2 2007","FQ2 2007","Currency=USD","Period=FQ","BEST_FPERIOD_OVERRIDE=FQ","FILING_STATUS=OR","SCALING_FORMAT=MLN","FA_ADJUSTED=Adjusted","Sort=A","Dates=H","DateFormat=P","Fill=—","Direction=H","UseDPDF=Y")</f>
        <v>0</v>
      </c>
      <c r="AM15" s="13">
        <f>_xll.BDH("XOM US Equity","IS_FOREIGN_EXCH_LOSS","FQ3 2007","FQ3 2007","Currency=USD","Period=FQ","BEST_FPERIOD_OVERRIDE=FQ","FILING_STATUS=OR","SCALING_FORMAT=MLN","FA_ADJUSTED=Adjusted","Sort=A","Dates=H","DateFormat=P","Fill=—","Direction=H","UseDPDF=Y")</f>
        <v>0</v>
      </c>
      <c r="AN15" s="13">
        <f>_xll.BDH("XOM US Equity","IS_FOREIGN_EXCH_LOSS","FQ4 2007","FQ4 2007","Currency=USD","Period=FQ","BEST_FPERIOD_OVERRIDE=FQ","FILING_STATUS=OR","SCALING_FORMAT=MLN","FA_ADJUSTED=Adjusted","Sort=A","Dates=H","DateFormat=P","Fill=—","Direction=H","UseDPDF=Y")</f>
        <v>0</v>
      </c>
      <c r="AO15" s="13">
        <f>_xll.BDH("XOM US Equity","IS_FOREIGN_EXCH_LOSS","FQ1 2008","FQ1 2008","Currency=USD","Period=FQ","BEST_FPERIOD_OVERRIDE=FQ","FILING_STATUS=OR","SCALING_FORMAT=MLN","FA_ADJUSTED=Adjusted","Sort=A","Dates=H","DateFormat=P","Fill=—","Direction=H","UseDPDF=Y")</f>
        <v>0</v>
      </c>
      <c r="AP15" s="13">
        <f>_xll.BDH("XOM US Equity","IS_FOREIGN_EXCH_LOSS","FQ2 2008","FQ2 2008","Currency=USD","Period=FQ","BEST_FPERIOD_OVERRIDE=FQ","FILING_STATUS=OR","SCALING_FORMAT=MLN","FA_ADJUSTED=Adjusted","Sort=A","Dates=H","DateFormat=P","Fill=—","Direction=H","UseDPDF=Y")</f>
        <v>0</v>
      </c>
    </row>
    <row r="16" spans="1:42" x14ac:dyDescent="0.25">
      <c r="A16" s="6" t="s">
        <v>106</v>
      </c>
      <c r="B16" s="6" t="s">
        <v>107</v>
      </c>
      <c r="C16" s="16">
        <f>_xll.BDH("XOM US Equity","PRETAX_INC","FQ3 1998","FQ3 1998","Currency=USD","Period=FQ","BEST_FPERIOD_OVERRIDE=FQ","FILING_STATUS=OR","SCALING_FORMAT=MLN","FA_ADJUSTED=Adjusted","Sort=A","Dates=H","DateFormat=P","Fill=—","Direction=H","UseDPDF=Y")</f>
        <v>2145</v>
      </c>
      <c r="D16" s="16" t="str">
        <f>_xll.BDH("XOM US Equity","PRETAX_INC","FQ4 1998","FQ4 1998","Currency=USD","Period=FQ","BEST_FPERIOD_OVERRIDE=FQ","FILING_STATUS=OR","SCALING_FORMAT=MLN","FA_ADJUSTED=Adjusted","Sort=A","Dates=H","DateFormat=P","Fill=—","Direction=H","UseDPDF=Y")</f>
        <v>—</v>
      </c>
      <c r="E16" s="16">
        <f>_xll.BDH("XOM US Equity","PRETAX_INC","FQ1 1999","FQ1 1999","Currency=USD","Period=FQ","BEST_FPERIOD_OVERRIDE=FQ","FILING_STATUS=OR","SCALING_FORMAT=MLN","FA_ADJUSTED=Adjusted","Sort=A","Dates=H","DateFormat=P","Fill=—","Direction=H","UseDPDF=Y")</f>
        <v>936</v>
      </c>
      <c r="F16" s="16">
        <f>_xll.BDH("XOM US Equity","PRETAX_INC","FQ2 1999","FQ2 1999","Currency=USD","Period=FQ","BEST_FPERIOD_OVERRIDE=FQ","FILING_STATUS=OR","SCALING_FORMAT=MLN","FA_ADJUSTED=Adjusted","Sort=A","Dates=H","DateFormat=P","Fill=—","Direction=H","UseDPDF=Y")</f>
        <v>1677</v>
      </c>
      <c r="G16" s="16">
        <f>_xll.BDH("XOM US Equity","PRETAX_INC","FQ3 1999","FQ3 1999","Currency=USD","Period=FQ","BEST_FPERIOD_OVERRIDE=FQ","FILING_STATUS=OR","SCALING_FORMAT=MLN","FA_ADJUSTED=Adjusted","Sort=A","Dates=H","DateFormat=P","Fill=—","Direction=H","UseDPDF=Y")</f>
        <v>2259</v>
      </c>
      <c r="H16" s="16">
        <f>_xll.BDH("XOM US Equity","PRETAX_INC","FQ4 1999","FQ4 1999","Currency=USD","Period=FQ","BEST_FPERIOD_OVERRIDE=FQ","FILING_STATUS=OR","SCALING_FORMAT=MLN","FA_ADJUSTED=Adjusted","Sort=A","Dates=H","DateFormat=P","Fill=—","Direction=H","UseDPDF=Y")</f>
        <v>4408</v>
      </c>
      <c r="I16" s="16">
        <f>_xll.BDH("XOM US Equity","PRETAX_INC","FQ1 2000","FQ1 2000","Currency=USD","Period=FQ","BEST_FPERIOD_OVERRIDE=FQ","FILING_STATUS=OR","SCALING_FORMAT=MLN","FA_ADJUSTED=Adjusted","Sort=A","Dates=H","DateFormat=P","Fill=—","Direction=H","UseDPDF=Y")</f>
        <v>5338</v>
      </c>
      <c r="J16" s="16">
        <f>_xll.BDH("XOM US Equity","PRETAX_INC","FQ2 2000","FQ2 2000","Currency=USD","Period=FQ","BEST_FPERIOD_OVERRIDE=FQ","FILING_STATUS=OR","SCALING_FORMAT=MLN","FA_ADJUSTED=Adjusted","Sort=A","Dates=H","DateFormat=P","Fill=—","Direction=H","UseDPDF=Y")</f>
        <v>6816</v>
      </c>
      <c r="K16" s="16">
        <f>_xll.BDH("XOM US Equity","PRETAX_INC","FQ3 2000","FQ3 2000","Currency=USD","Period=FQ","BEST_FPERIOD_OVERRIDE=FQ","FILING_STATUS=OR","SCALING_FORMAT=MLN","FA_ADJUSTED=Adjusted","Sort=A","Dates=H","DateFormat=P","Fill=—","Direction=H","UseDPDF=Y")</f>
        <v>6770</v>
      </c>
      <c r="L16" s="16">
        <f>_xll.BDH("XOM US Equity","PRETAX_INC","FQ4 2000","FQ4 2000","Currency=USD","Period=FQ","BEST_FPERIOD_OVERRIDE=FQ","FILING_STATUS=OR","SCALING_FORMAT=MLN","FA_ADJUSTED=Adjusted","Sort=A","Dates=H","DateFormat=P","Fill=—","Direction=H","UseDPDF=Y")</f>
        <v>8805</v>
      </c>
      <c r="M16" s="16">
        <f>_xll.BDH("XOM US Equity","PRETAX_INC","FQ1 2001","FQ1 2001","Currency=USD","Period=FQ","BEST_FPERIOD_OVERRIDE=FQ","FILING_STATUS=OR","SCALING_FORMAT=MLN","FA_ADJUSTED=Adjusted","Sort=A","Dates=H","DateFormat=P","Fill=—","Direction=H","UseDPDF=Y")</f>
        <v>8432</v>
      </c>
      <c r="N16" s="16">
        <f>_xll.BDH("XOM US Equity","PRETAX_INC","FQ2 2001","FQ2 2001","Currency=USD","Period=FQ","BEST_FPERIOD_OVERRIDE=FQ","FILING_STATUS=OR","SCALING_FORMAT=MLN","FA_ADJUSTED=Adjusted","Sort=A","Dates=H","DateFormat=P","Fill=—","Direction=H","UseDPDF=Y")</f>
        <v>6955</v>
      </c>
      <c r="O16" s="16">
        <f>_xll.BDH("XOM US Equity","PRETAX_INC","FQ3 2001","FQ3 2001","Currency=USD","Period=FQ","BEST_FPERIOD_OVERRIDE=FQ","FILING_STATUS=OR","SCALING_FORMAT=MLN","FA_ADJUSTED=Adjusted","Sort=A","Dates=H","DateFormat=P","Fill=—","Direction=H","UseDPDF=Y")</f>
        <v>5365</v>
      </c>
      <c r="P16" s="16">
        <f>_xll.BDH("XOM US Equity","PRETAX_INC","FQ4 2001","FQ4 2001","Currency=USD","Period=FQ","BEST_FPERIOD_OVERRIDE=FQ","FILING_STATUS=OR","SCALING_FORMAT=MLN","FA_ADJUSTED=Adjusted","Sort=A","Dates=H","DateFormat=P","Fill=—","Direction=H","UseDPDF=Y")</f>
        <v>3936</v>
      </c>
      <c r="Q16" s="16">
        <f>_xll.BDH("XOM US Equity","PRETAX_INC","FQ1 2002","FQ1 2002","Currency=USD","Period=FQ","BEST_FPERIOD_OVERRIDE=FQ","FILING_STATUS=OR","SCALING_FORMAT=MLN","FA_ADJUSTED=Adjusted","Sort=A","Dates=H","DateFormat=P","Fill=—","Direction=H","UseDPDF=Y")</f>
        <v>3377</v>
      </c>
      <c r="R16" s="16">
        <f>_xll.BDH("XOM US Equity","PRETAX_INC","FQ2 2002","FQ2 2002","Currency=USD","Period=FQ","BEST_FPERIOD_OVERRIDE=FQ","FILING_STATUS=OR","SCALING_FORMAT=MLN","FA_ADJUSTED=Adjusted","Sort=A","Dates=H","DateFormat=P","Fill=—","Direction=H","UseDPDF=Y")</f>
        <v>4311</v>
      </c>
      <c r="S16" s="16">
        <f>_xll.BDH("XOM US Equity","PRETAX_INC","FQ3 2002","FQ3 2002","Currency=USD","Period=FQ","BEST_FPERIOD_OVERRIDE=FQ","FILING_STATUS=OR","SCALING_FORMAT=MLN","FA_ADJUSTED=Adjusted","Sort=A","Dates=H","DateFormat=P","Fill=—","Direction=H","UseDPDF=Y")</f>
        <v>4574</v>
      </c>
      <c r="T16" s="16">
        <f>_xll.BDH("XOM US Equity","PRETAX_INC","FQ4 2002","FQ4 2002","Currency=USD","Period=FQ","BEST_FPERIOD_OVERRIDE=FQ","FILING_STATUS=OR","SCALING_FORMAT=MLN","FA_ADJUSTED=Adjusted","Sort=A","Dates=H","DateFormat=P","Fill=—","Direction=H","UseDPDF=Y")</f>
        <v>5506</v>
      </c>
      <c r="U16" s="16">
        <f>_xll.BDH("XOM US Equity","PRETAX_INC","FQ1 2003","FQ1 2003","Currency=USD","Period=FQ","BEST_FPERIOD_OVERRIDE=FQ","FILING_STATUS=OR","SCALING_FORMAT=MLN","FA_ADJUSTED=Adjusted","Sort=A","Dates=H","DateFormat=P","Fill=—","Direction=H","UseDPDF=Y")</f>
        <v>10251</v>
      </c>
      <c r="V16" s="16">
        <f>_xll.BDH("XOM US Equity","PRETAX_INC","FQ2 2003","FQ2 2003","Currency=USD","Period=FQ","BEST_FPERIOD_OVERRIDE=FQ","FILING_STATUS=OR","SCALING_FORMAT=MLN","FA_ADJUSTED=Adjusted","Sort=A","Dates=H","DateFormat=P","Fill=—","Direction=H","UseDPDF=Y")</f>
        <v>6848</v>
      </c>
      <c r="W16" s="16">
        <f>_xll.BDH("XOM US Equity","PRETAX_INC","FQ3 2003","FQ3 2003","Currency=USD","Period=FQ","BEST_FPERIOD_OVERRIDE=FQ","FILING_STATUS=OR","SCALING_FORMAT=MLN","FA_ADJUSTED=Adjusted","Sort=A","Dates=H","DateFormat=P","Fill=—","Direction=H","UseDPDF=Y")</f>
        <v>6063</v>
      </c>
      <c r="X16" s="16">
        <f>_xll.BDH("XOM US Equity","PRETAX_INC","FQ4 2003","FQ4 2003","Currency=USD","Period=FQ","BEST_FPERIOD_OVERRIDE=FQ","FILING_STATUS=OR","SCALING_FORMAT=MLN","FA_ADJUSTED=Adjusted","Sort=A","Dates=H","DateFormat=P","Fill=—","Direction=H","UseDPDF=Y")</f>
        <v>9498</v>
      </c>
      <c r="Y16" s="16">
        <f>_xll.BDH("XOM US Equity","PRETAX_INC","FQ1 2004","FQ1 2004","Currency=USD","Period=FQ","BEST_FPERIOD_OVERRIDE=FQ","FILING_STATUS=OR","SCALING_FORMAT=MLN","FA_ADJUSTED=Adjusted","Sort=A","Dates=H","DateFormat=P","Fill=—","Direction=H","UseDPDF=Y")</f>
        <v>9116</v>
      </c>
      <c r="Z16" s="16">
        <f>_xll.BDH("XOM US Equity","PRETAX_INC","FQ2 2004","FQ2 2004","Currency=USD","Period=FQ","BEST_FPERIOD_OVERRIDE=FQ","FILING_STATUS=OR","SCALING_FORMAT=MLN","FA_ADJUSTED=Adjusted","Sort=A","Dates=H","DateFormat=P","Fill=—","Direction=H","UseDPDF=Y")</f>
        <v>9622</v>
      </c>
      <c r="AA16" s="16">
        <f>_xll.BDH("XOM US Equity","PRETAX_INC","FQ3 2004","FQ3 2004","Currency=USD","Period=FQ","BEST_FPERIOD_OVERRIDE=FQ","FILING_STATUS=OR","SCALING_FORMAT=MLN","FA_ADJUSTED=Adjusted","Sort=A","Dates=H","DateFormat=P","Fill=—","Direction=H","UseDPDF=Y")</f>
        <v>9733</v>
      </c>
      <c r="AB16" s="16">
        <f>_xll.BDH("XOM US Equity","PRETAX_INC","FQ4 2004","FQ4 2004","Currency=USD","Period=FQ","BEST_FPERIOD_OVERRIDE=FQ","FILING_STATUS=OR","SCALING_FORMAT=MLN","FA_ADJUSTED=Adjusted","Sort=A","Dates=H","DateFormat=P","Fill=—","Direction=H","UseDPDF=Y")</f>
        <v>13546</v>
      </c>
      <c r="AC16" s="16">
        <f>_xll.BDH("XOM US Equity","PRETAX_INC","FQ1 2005","FQ1 2005","Currency=USD","Period=FQ","BEST_FPERIOD_OVERRIDE=FQ","FILING_STATUS=OR","SCALING_FORMAT=MLN","FA_ADJUSTED=Adjusted","Sort=A","Dates=H","DateFormat=P","Fill=—","Direction=H","UseDPDF=Y")</f>
        <v>12998</v>
      </c>
      <c r="AD16" s="16">
        <f>_xll.BDH("XOM US Equity","PRETAX_INC","FQ2 2005","FQ2 2005","Currency=USD","Period=FQ","BEST_FPERIOD_OVERRIDE=FQ","FILING_STATUS=OR","SCALING_FORMAT=MLN","FA_ADJUSTED=Adjusted","Sort=A","Dates=H","DateFormat=P","Fill=—","Direction=H","UseDPDF=Y")</f>
        <v>12958</v>
      </c>
      <c r="AE16" s="16">
        <f>_xll.BDH("XOM US Equity","PRETAX_INC","FQ3 2005","FQ3 2005","Currency=USD","Period=FQ","BEST_FPERIOD_OVERRIDE=FQ","FILING_STATUS=OR","SCALING_FORMAT=MLN","FA_ADJUSTED=Adjusted","Sort=A","Dates=H","DateFormat=P","Fill=—","Direction=H","UseDPDF=Y")</f>
        <v>16226</v>
      </c>
      <c r="AF16" s="16">
        <f>_xll.BDH("XOM US Equity","PRETAX_INC","FQ4 2005","FQ4 2005","Currency=USD","Period=FQ","BEST_FPERIOD_OVERRIDE=FQ","FILING_STATUS=OR","SCALING_FORMAT=MLN","FA_ADJUSTED=Adjusted","Sort=A","Dates=H","DateFormat=P","Fill=—","Direction=H","UseDPDF=Y")</f>
        <v>18049</v>
      </c>
      <c r="AG16" s="16">
        <f>_xll.BDH("XOM US Equity","PRETAX_INC","FQ1 2006","FQ1 2006","Currency=USD","Period=FQ","BEST_FPERIOD_OVERRIDE=FQ","FILING_STATUS=OR","SCALING_FORMAT=MLN","FA_ADJUSTED=Adjusted","Sort=A","Dates=H","DateFormat=P","Fill=—","Direction=H","UseDPDF=Y")</f>
        <v>15641</v>
      </c>
      <c r="AH16" s="16">
        <f>_xll.BDH("XOM US Equity","PRETAX_INC","FQ2 2006","FQ2 2006","Currency=USD","Period=FQ","BEST_FPERIOD_OVERRIDE=FQ","FILING_STATUS=OR","SCALING_FORMAT=MLN","FA_ADJUSTED=Adjusted","Sort=A","Dates=H","DateFormat=P","Fill=—","Direction=H","UseDPDF=Y")</f>
        <v>18457</v>
      </c>
      <c r="AI16" s="16">
        <f>_xll.BDH("XOM US Equity","PRETAX_INC","FQ3 2006","FQ3 2006","Currency=USD","Period=FQ","BEST_FPERIOD_OVERRIDE=FQ","FILING_STATUS=OR","SCALING_FORMAT=MLN","FA_ADJUSTED=Adjusted","Sort=A","Dates=H","DateFormat=P","Fill=—","Direction=H","UseDPDF=Y")</f>
        <v>18470</v>
      </c>
      <c r="AJ16" s="16">
        <f>_xll.BDH("XOM US Equity","PRETAX_INC","FQ4 2006","FQ4 2006","Currency=USD","Period=FQ","BEST_FPERIOD_OVERRIDE=FQ","FILING_STATUS=OR","SCALING_FORMAT=MLN","FA_ADJUSTED=Adjusted","Sort=A","Dates=H","DateFormat=P","Fill=—","Direction=H","UseDPDF=Y")</f>
        <v>15885</v>
      </c>
      <c r="AK16" s="16">
        <f>_xll.BDH("XOM US Equity","PRETAX_INC","FQ1 2007","FQ1 2007","Currency=USD","Period=FQ","BEST_FPERIOD_OVERRIDE=FQ","FILING_STATUS=OR","SCALING_FORMAT=MLN","FA_ADJUSTED=Adjusted","Sort=A","Dates=H","DateFormat=P","Fill=—","Direction=H","UseDPDF=Y")</f>
        <v>16314</v>
      </c>
      <c r="AL16" s="16">
        <f>_xll.BDH("XOM US Equity","PRETAX_INC","FQ2 2007","FQ2 2007","Currency=USD","Period=FQ","BEST_FPERIOD_OVERRIDE=FQ","FILING_STATUS=OR","SCALING_FORMAT=MLN","FA_ADJUSTED=Adjusted","Sort=A","Dates=H","DateFormat=P","Fill=—","Direction=H","UseDPDF=Y")</f>
        <v>18116</v>
      </c>
      <c r="AM16" s="16">
        <f>_xll.BDH("XOM US Equity","PRETAX_INC","FQ3 2007","FQ3 2007","Currency=USD","Period=FQ","BEST_FPERIOD_OVERRIDE=FQ","FILING_STATUS=OR","SCALING_FORMAT=MLN","FA_ADJUSTED=Adjusted","Sort=A","Dates=H","DateFormat=P","Fill=—","Direction=H","UseDPDF=Y")</f>
        <v>17044</v>
      </c>
      <c r="AN16" s="16">
        <f>_xll.BDH("XOM US Equity","PRETAX_INC","FQ4 2007","FQ4 2007","Currency=USD","Period=FQ","BEST_FPERIOD_OVERRIDE=FQ","FILING_STATUS=OR","SCALING_FORMAT=MLN","FA_ADJUSTED=Adjusted","Sort=A","Dates=H","DateFormat=P","Fill=—","Direction=H","UseDPDF=Y")</f>
        <v>20005</v>
      </c>
      <c r="AO16" s="16">
        <f>_xll.BDH("XOM US Equity","PRETAX_INC","FQ1 2008","FQ1 2008","Currency=USD","Period=FQ","BEST_FPERIOD_OVERRIDE=FQ","FILING_STATUS=OR","SCALING_FORMAT=MLN","FA_ADJUSTED=Adjusted","Sort=A","Dates=H","DateFormat=P","Fill=—","Direction=H","UseDPDF=Y")</f>
        <v>20474</v>
      </c>
      <c r="AP16" s="16">
        <f>_xll.BDH("XOM US Equity","PRETAX_INC","FQ2 2008","FQ2 2008","Currency=USD","Period=FQ","BEST_FPERIOD_OVERRIDE=FQ","FILING_STATUS=OR","SCALING_FORMAT=MLN","FA_ADJUSTED=Adjusted","Sort=A","Dates=H","DateFormat=P","Fill=—","Direction=H","UseDPDF=Y")</f>
        <v>22431</v>
      </c>
    </row>
    <row r="17" spans="1:42" x14ac:dyDescent="0.25">
      <c r="A17" s="10" t="s">
        <v>108</v>
      </c>
      <c r="B17" s="10" t="s">
        <v>109</v>
      </c>
      <c r="C17" s="13" t="str">
        <f>_xll.BDH("XOM US Equity","IS_ABNORMAL_ITEM","FQ3 1998","FQ3 1998","Currency=USD","Period=FQ","BEST_FPERIOD_OVERRIDE=FQ","FILING_STATUS=OR","SCALING_FORMAT=MLN","Sort=A","Dates=H","DateFormat=P","Fill=—","Direction=H","UseDPDF=Y")</f>
        <v>—</v>
      </c>
      <c r="D17" s="13" t="str">
        <f>_xll.BDH("XOM US Equity","IS_ABNORMAL_ITEM","FQ4 1998","FQ4 1998","Currency=USD","Period=FQ","BEST_FPERIOD_OVERRIDE=FQ","FILING_STATUS=OR","SCALING_FORMAT=MLN","Sort=A","Dates=H","DateFormat=P","Fill=—","Direction=H","UseDPDF=Y")</f>
        <v>—</v>
      </c>
      <c r="E17" s="13" t="str">
        <f>_xll.BDH("XOM US Equity","IS_ABNORMAL_ITEM","FQ1 1999","FQ1 1999","Currency=USD","Period=FQ","BEST_FPERIOD_OVERRIDE=FQ","FILING_STATUS=OR","SCALING_FORMAT=MLN","Sort=A","Dates=H","DateFormat=P","Fill=—","Direction=H","UseDPDF=Y")</f>
        <v>—</v>
      </c>
      <c r="F17" s="13" t="str">
        <f>_xll.BDH("XOM US Equity","IS_ABNORMAL_ITEM","FQ2 1999","FQ2 1999","Currency=USD","Period=FQ","BEST_FPERIOD_OVERRIDE=FQ","FILING_STATUS=OR","SCALING_FORMAT=MLN","Sort=A","Dates=H","DateFormat=P","Fill=—","Direction=H","UseDPDF=Y")</f>
        <v>—</v>
      </c>
      <c r="G17" s="13" t="str">
        <f>_xll.BDH("XOM US Equity","IS_ABNORMAL_ITEM","FQ3 1999","FQ3 1999","Currency=USD","Period=FQ","BEST_FPERIOD_OVERRIDE=FQ","FILING_STATUS=OR","SCALING_FORMAT=MLN","Sort=A","Dates=H","DateFormat=P","Fill=—","Direction=H","UseDPDF=Y")</f>
        <v>—</v>
      </c>
      <c r="H17" s="13">
        <f>_xll.BDH("XOM US Equity","IS_ABNORMAL_ITEM","FQ4 1999","FQ4 1999","Currency=USD","Period=FQ","BEST_FPERIOD_OVERRIDE=FQ","FILING_STATUS=OR","SCALING_FORMAT=MLN","Sort=A","Dates=H","DateFormat=P","Fill=—","Direction=H","UseDPDF=Y")</f>
        <v>470</v>
      </c>
      <c r="I17" s="13">
        <f>_xll.BDH("XOM US Equity","IS_ABNORMAL_ITEM","FQ1 2000","FQ1 2000","Currency=USD","Period=FQ","BEST_FPERIOD_OVERRIDE=FQ","FILING_STATUS=OR","SCALING_FORMAT=MLN","Sort=A","Dates=H","DateFormat=P","Fill=—","Direction=H","UseDPDF=Y")</f>
        <v>530</v>
      </c>
      <c r="J17" s="13">
        <f>_xll.BDH("XOM US Equity","IS_ABNORMAL_ITEM","FQ2 2000","FQ2 2000","Currency=USD","Period=FQ","BEST_FPERIOD_OVERRIDE=FQ","FILING_STATUS=OR","SCALING_FORMAT=MLN","Sort=A","Dates=H","DateFormat=P","Fill=—","Direction=H","UseDPDF=Y")</f>
        <v>202</v>
      </c>
      <c r="K17" s="13">
        <f>_xll.BDH("XOM US Equity","IS_ABNORMAL_ITEM","FQ3 2000","FQ3 2000","Currency=USD","Period=FQ","BEST_FPERIOD_OVERRIDE=FQ","FILING_STATUS=OR","SCALING_FORMAT=MLN","Sort=A","Dates=H","DateFormat=P","Fill=—","Direction=H","UseDPDF=Y")</f>
        <v>372</v>
      </c>
      <c r="L17" s="13">
        <f>_xll.BDH("XOM US Equity","IS_ABNORMAL_ITEM","FQ4 2000","FQ4 2000","Currency=USD","Period=FQ","BEST_FPERIOD_OVERRIDE=FQ","FILING_STATUS=OR","SCALING_FORMAT=MLN","Sort=A","Dates=H","DateFormat=P","Fill=—","Direction=H","UseDPDF=Y")</f>
        <v>-184</v>
      </c>
      <c r="M17" s="13">
        <f>_xll.BDH("XOM US Equity","IS_ABNORMAL_ITEM","FQ1 2001","FQ1 2001","Currency=USD","Period=FQ","BEST_FPERIOD_OVERRIDE=FQ","FILING_STATUS=OR","SCALING_FORMAT=MLN","Sort=A","Dates=H","DateFormat=P","Fill=—","Direction=H","UseDPDF=Y")</f>
        <v>121</v>
      </c>
      <c r="N17" s="13">
        <f>_xll.BDH("XOM US Equity","IS_ABNORMAL_ITEM","FQ2 2001","FQ2 2001","Currency=USD","Period=FQ","BEST_FPERIOD_OVERRIDE=FQ","FILING_STATUS=OR","SCALING_FORMAT=MLN","Sort=A","Dates=H","DateFormat=P","Fill=—","Direction=H","UseDPDF=Y")</f>
        <v>167</v>
      </c>
      <c r="O17" s="13">
        <f>_xll.BDH("XOM US Equity","IS_ABNORMAL_ITEM","FQ3 2001","FQ3 2001","Currency=USD","Period=FQ","BEST_FPERIOD_OVERRIDE=FQ","FILING_STATUS=OR","SCALING_FORMAT=MLN","Sort=A","Dates=H","DateFormat=P","Fill=—","Direction=H","UseDPDF=Y")</f>
        <v>145</v>
      </c>
      <c r="P17" s="13">
        <f>_xll.BDH("XOM US Equity","IS_ABNORMAL_ITEM","FQ4 2001","FQ4 2001","Currency=USD","Period=FQ","BEST_FPERIOD_OVERRIDE=FQ","FILING_STATUS=OR","SCALING_FORMAT=MLN","Sort=A","Dates=H","DateFormat=P","Fill=—","Direction=H","UseDPDF=Y")</f>
        <v>315</v>
      </c>
      <c r="Q17" s="13">
        <f>_xll.BDH("XOM US Equity","IS_ABNORMAL_ITEM","FQ1 2002","FQ1 2002","Currency=USD","Period=FQ","BEST_FPERIOD_OVERRIDE=FQ","FILING_STATUS=OR","SCALING_FORMAT=MLN","Sort=A","Dates=H","DateFormat=P","Fill=—","Direction=H","UseDPDF=Y")</f>
        <v>60</v>
      </c>
      <c r="R17" s="13">
        <f>_xll.BDH("XOM US Equity","IS_ABNORMAL_ITEM","FQ2 2002","FQ2 2002","Currency=USD","Period=FQ","BEST_FPERIOD_OVERRIDE=FQ","FILING_STATUS=OR","SCALING_FORMAT=MLN","Sort=A","Dates=H","DateFormat=P","Fill=—","Direction=H","UseDPDF=Y")</f>
        <v>30</v>
      </c>
      <c r="S17" s="13">
        <f>_xll.BDH("XOM US Equity","IS_ABNORMAL_ITEM","FQ3 2002","FQ3 2002","Currency=USD","Period=FQ","BEST_FPERIOD_OVERRIDE=FQ","FILING_STATUS=OR","SCALING_FORMAT=MLN","Sort=A","Dates=H","DateFormat=P","Fill=—","Direction=H","UseDPDF=Y")</f>
        <v>300</v>
      </c>
      <c r="T17" s="13">
        <f>_xll.BDH("XOM US Equity","IS_ABNORMAL_ITEM","FQ4 2002","FQ4 2002","Currency=USD","Period=FQ","BEST_FPERIOD_OVERRIDE=FQ","FILING_STATUS=OR","SCALING_FORMAT=MLN","Sort=A","Dates=H","DateFormat=P","Fill=—","Direction=H","UseDPDF=Y")</f>
        <v>100</v>
      </c>
      <c r="U17" s="13">
        <f>_xll.BDH("XOM US Equity","IS_ABNORMAL_ITEM","FQ1 2003","FQ1 2003","Currency=USD","Period=FQ","BEST_FPERIOD_OVERRIDE=FQ","FILING_STATUS=OR","SCALING_FORMAT=MLN","Sort=A","Dates=H","DateFormat=P","Fill=—","Direction=H","UseDPDF=Y")</f>
        <v>-1700</v>
      </c>
      <c r="V17" s="13" t="str">
        <f>_xll.BDH("XOM US Equity","IS_ABNORMAL_ITEM","FQ2 2003","FQ2 2003","Currency=USD","Period=FQ","BEST_FPERIOD_OVERRIDE=FQ","FILING_STATUS=OR","SCALING_FORMAT=MLN","Sort=A","Dates=H","DateFormat=P","Fill=—","Direction=H","UseDPDF=Y")</f>
        <v>—</v>
      </c>
      <c r="W17" s="13" t="str">
        <f>_xll.BDH("XOM US Equity","IS_ABNORMAL_ITEM","FQ3 2003","FQ3 2003","Currency=USD","Period=FQ","BEST_FPERIOD_OVERRIDE=FQ","FILING_STATUS=OR","SCALING_FORMAT=MLN","Sort=A","Dates=H","DateFormat=P","Fill=—","Direction=H","UseDPDF=Y")</f>
        <v>—</v>
      </c>
      <c r="X17" s="13">
        <f>_xll.BDH("XOM US Equity","IS_ABNORMAL_ITEM","FQ4 2003","FQ4 2003","Currency=USD","Period=FQ","BEST_FPERIOD_OVERRIDE=FQ","FILING_STATUS=OR","SCALING_FORMAT=MLN","Sort=A","Dates=H","DateFormat=P","Fill=—","Direction=H","UseDPDF=Y")</f>
        <v>-2230</v>
      </c>
      <c r="Y17" s="13" t="str">
        <f>_xll.BDH("XOM US Equity","IS_ABNORMAL_ITEM","FQ1 2004","FQ1 2004","Currency=USD","Period=FQ","BEST_FPERIOD_OVERRIDE=FQ","FILING_STATUS=OR","SCALING_FORMAT=MLN","Sort=A","Dates=H","DateFormat=P","Fill=—","Direction=H","UseDPDF=Y")</f>
        <v>—</v>
      </c>
      <c r="Z17" s="13" t="str">
        <f>_xll.BDH("XOM US Equity","IS_ABNORMAL_ITEM","FQ2 2004","FQ2 2004","Currency=USD","Period=FQ","BEST_FPERIOD_OVERRIDE=FQ","FILING_STATUS=OR","SCALING_FORMAT=MLN","Sort=A","Dates=H","DateFormat=P","Fill=—","Direction=H","UseDPDF=Y")</f>
        <v>—</v>
      </c>
      <c r="AA17" s="13">
        <f>_xll.BDH("XOM US Equity","IS_ABNORMAL_ITEM","FQ3 2004","FQ3 2004","Currency=USD","Period=FQ","BEST_FPERIOD_OVERRIDE=FQ","FILING_STATUS=OR","SCALING_FORMAT=MLN","Sort=A","Dates=H","DateFormat=P","Fill=—","Direction=H","UseDPDF=Y")</f>
        <v>550</v>
      </c>
      <c r="AB17" s="13" t="str">
        <f>_xll.BDH("XOM US Equity","IS_ABNORMAL_ITEM","FQ4 2004","FQ4 2004","Currency=USD","Period=FQ","BEST_FPERIOD_OVERRIDE=FQ","FILING_STATUS=OR","SCALING_FORMAT=MLN","Sort=A","Dates=H","DateFormat=P","Fill=—","Direction=H","UseDPDF=Y")</f>
        <v>—</v>
      </c>
      <c r="AC17" s="13">
        <f>_xll.BDH("XOM US Equity","IS_ABNORMAL_ITEM","FQ1 2005","FQ1 2005","Currency=USD","Period=FQ","BEST_FPERIOD_OVERRIDE=FQ","FILING_STATUS=OR","SCALING_FORMAT=MLN","Sort=A","Dates=H","DateFormat=P","Fill=—","Direction=H","UseDPDF=Y")</f>
        <v>-460</v>
      </c>
      <c r="AD17" s="13">
        <f>_xll.BDH("XOM US Equity","IS_ABNORMAL_ITEM","FQ2 2005","FQ2 2005","Currency=USD","Period=FQ","BEST_FPERIOD_OVERRIDE=FQ","FILING_STATUS=OR","SCALING_FORMAT=MLN","Sort=A","Dates=H","DateFormat=P","Fill=—","Direction=H","UseDPDF=Y")</f>
        <v>200</v>
      </c>
      <c r="AE17" s="13">
        <f>_xll.BDH("XOM US Equity","IS_ABNORMAL_ITEM","FQ3 2005","FQ3 2005","Currency=USD","Period=FQ","BEST_FPERIOD_OVERRIDE=FQ","FILING_STATUS=OR","SCALING_FORMAT=MLN","Sort=A","Dates=H","DateFormat=P","Fill=—","Direction=H","UseDPDF=Y")</f>
        <v>-1620</v>
      </c>
      <c r="AF17" s="13">
        <f>_xll.BDH("XOM US Equity","IS_ABNORMAL_ITEM","FQ4 2005","FQ4 2005","Currency=USD","Period=FQ","BEST_FPERIOD_OVERRIDE=FQ","FILING_STATUS=OR","SCALING_FORMAT=MLN","Sort=A","Dates=H","DateFormat=P","Fill=—","Direction=H","UseDPDF=Y")</f>
        <v>-390</v>
      </c>
      <c r="AG17" s="13" t="str">
        <f>_xll.BDH("XOM US Equity","IS_ABNORMAL_ITEM","FQ1 2006","FQ1 2006","Currency=USD","Period=FQ","BEST_FPERIOD_OVERRIDE=FQ","FILING_STATUS=OR","SCALING_FORMAT=MLN","Sort=A","Dates=H","DateFormat=P","Fill=—","Direction=H","UseDPDF=Y")</f>
        <v>—</v>
      </c>
      <c r="AH17" s="13" t="str">
        <f>_xll.BDH("XOM US Equity","IS_ABNORMAL_ITEM","FQ2 2006","FQ2 2006","Currency=USD","Period=FQ","BEST_FPERIOD_OVERRIDE=FQ","FILING_STATUS=OR","SCALING_FORMAT=MLN","Sort=A","Dates=H","DateFormat=P","Fill=—","Direction=H","UseDPDF=Y")</f>
        <v>—</v>
      </c>
      <c r="AI17" s="13" t="str">
        <f>_xll.BDH("XOM US Equity","IS_ABNORMAL_ITEM","FQ3 2006","FQ3 2006","Currency=USD","Period=FQ","BEST_FPERIOD_OVERRIDE=FQ","FILING_STATUS=OR","SCALING_FORMAT=MLN","Sort=A","Dates=H","DateFormat=P","Fill=—","Direction=H","UseDPDF=Y")</f>
        <v>—</v>
      </c>
      <c r="AJ17" s="13">
        <f>_xll.BDH("XOM US Equity","IS_ABNORMAL_ITEM","FQ4 2006","FQ4 2006","Currency=USD","Period=FQ","BEST_FPERIOD_OVERRIDE=FQ","FILING_STATUS=OR","SCALING_FORMAT=MLN","Sort=A","Dates=H","DateFormat=P","Fill=—","Direction=H","UseDPDF=Y")</f>
        <v>-410</v>
      </c>
      <c r="AK17" s="13" t="str">
        <f>_xll.BDH("XOM US Equity","IS_ABNORMAL_ITEM","FQ1 2007","FQ1 2007","Currency=USD","Period=FQ","BEST_FPERIOD_OVERRIDE=FQ","FILING_STATUS=OR","SCALING_FORMAT=MLN","Sort=A","Dates=H","DateFormat=P","Fill=—","Direction=H","UseDPDF=Y")</f>
        <v>—</v>
      </c>
      <c r="AL17" s="13" t="str">
        <f>_xll.BDH("XOM US Equity","IS_ABNORMAL_ITEM","FQ2 2007","FQ2 2007","Currency=USD","Period=FQ","BEST_FPERIOD_OVERRIDE=FQ","FILING_STATUS=OR","SCALING_FORMAT=MLN","Sort=A","Dates=H","DateFormat=P","Fill=—","Direction=H","UseDPDF=Y")</f>
        <v>—</v>
      </c>
      <c r="AM17" s="13" t="str">
        <f>_xll.BDH("XOM US Equity","IS_ABNORMAL_ITEM","FQ3 2007","FQ3 2007","Currency=USD","Period=FQ","BEST_FPERIOD_OVERRIDE=FQ","FILING_STATUS=OR","SCALING_FORMAT=MLN","Sort=A","Dates=H","DateFormat=P","Fill=—","Direction=H","UseDPDF=Y")</f>
        <v>—</v>
      </c>
      <c r="AN17" s="13" t="str">
        <f>_xll.BDH("XOM US Equity","IS_ABNORMAL_ITEM","FQ4 2007","FQ4 2007","Currency=USD","Period=FQ","BEST_FPERIOD_OVERRIDE=FQ","FILING_STATUS=OR","SCALING_FORMAT=MLN","Sort=A","Dates=H","DateFormat=P","Fill=—","Direction=H","UseDPDF=Y")</f>
        <v>—</v>
      </c>
      <c r="AO17" s="13" t="str">
        <f>_xll.BDH("XOM US Equity","IS_ABNORMAL_ITEM","FQ1 2008","FQ1 2008","Currency=USD","Period=FQ","BEST_FPERIOD_OVERRIDE=FQ","FILING_STATUS=OR","SCALING_FORMAT=MLN","Sort=A","Dates=H","DateFormat=P","Fill=—","Direction=H","UseDPDF=Y")</f>
        <v>—</v>
      </c>
      <c r="AP17" s="13">
        <f>_xll.BDH("XOM US Equity","IS_ABNORMAL_ITEM","FQ2 2008","FQ2 2008","Currency=USD","Period=FQ","BEST_FPERIOD_OVERRIDE=FQ","FILING_STATUS=OR","SCALING_FORMAT=MLN","Sort=A","Dates=H","DateFormat=P","Fill=—","Direction=H","UseDPDF=Y")</f>
        <v>290</v>
      </c>
    </row>
    <row r="18" spans="1:42" x14ac:dyDescent="0.25">
      <c r="A18" s="6" t="s">
        <v>110</v>
      </c>
      <c r="B18" s="6" t="s">
        <v>107</v>
      </c>
      <c r="C18" s="16">
        <f>_xll.BDH("XOM US Equity","PRETAX_INC","FQ3 1998","FQ3 1998","Currency=USD","Period=FQ","BEST_FPERIOD_OVERRIDE=FQ","FILING_STATUS=OR","SCALING_FORMAT=MLN","FA_ADJUSTED=GAAP","Sort=A","Dates=H","DateFormat=P","Fill=—","Direction=H","UseDPDF=Y")</f>
        <v>2145</v>
      </c>
      <c r="D18" s="16" t="str">
        <f>_xll.BDH("XOM US Equity","PRETAX_INC","FQ4 1998","FQ4 1998","Currency=USD","Period=FQ","BEST_FPERIOD_OVERRIDE=FQ","FILING_STATUS=OR","SCALING_FORMAT=MLN","FA_ADJUSTED=GAAP","Sort=A","Dates=H","DateFormat=P","Fill=—","Direction=H","UseDPDF=Y")</f>
        <v>—</v>
      </c>
      <c r="E18" s="16">
        <f>_xll.BDH("XOM US Equity","PRETAX_INC","FQ1 1999","FQ1 1999","Currency=USD","Period=FQ","BEST_FPERIOD_OVERRIDE=FQ","FILING_STATUS=OR","SCALING_FORMAT=MLN","FA_ADJUSTED=GAAP","Sort=A","Dates=H","DateFormat=P","Fill=—","Direction=H","UseDPDF=Y")</f>
        <v>936</v>
      </c>
      <c r="F18" s="16">
        <f>_xll.BDH("XOM US Equity","PRETAX_INC","FQ2 1999","FQ2 1999","Currency=USD","Period=FQ","BEST_FPERIOD_OVERRIDE=FQ","FILING_STATUS=OR","SCALING_FORMAT=MLN","FA_ADJUSTED=GAAP","Sort=A","Dates=H","DateFormat=P","Fill=—","Direction=H","UseDPDF=Y")</f>
        <v>1677</v>
      </c>
      <c r="G18" s="16">
        <f>_xll.BDH("XOM US Equity","PRETAX_INC","FQ3 1999","FQ3 1999","Currency=USD","Period=FQ","BEST_FPERIOD_OVERRIDE=FQ","FILING_STATUS=OR","SCALING_FORMAT=MLN","FA_ADJUSTED=GAAP","Sort=A","Dates=H","DateFormat=P","Fill=—","Direction=H","UseDPDF=Y")</f>
        <v>2259</v>
      </c>
      <c r="H18" s="16">
        <f>_xll.BDH("XOM US Equity","PRETAX_INC","FQ4 1999","FQ4 1999","Currency=USD","Period=FQ","BEST_FPERIOD_OVERRIDE=FQ","FILING_STATUS=OR","SCALING_FORMAT=MLN","FA_ADJUSTED=GAAP","Sort=A","Dates=H","DateFormat=P","Fill=—","Direction=H","UseDPDF=Y")</f>
        <v>4408</v>
      </c>
      <c r="I18" s="16">
        <f>_xll.BDH("XOM US Equity","PRETAX_INC","FQ1 2000","FQ1 2000","Currency=USD","Period=FQ","BEST_FPERIOD_OVERRIDE=FQ","FILING_STATUS=OR","SCALING_FORMAT=MLN","FA_ADJUSTED=GAAP","Sort=A","Dates=H","DateFormat=P","Fill=—","Direction=H","UseDPDF=Y")</f>
        <v>5338</v>
      </c>
      <c r="J18" s="16">
        <f>_xll.BDH("XOM US Equity","PRETAX_INC","FQ2 2000","FQ2 2000","Currency=USD","Period=FQ","BEST_FPERIOD_OVERRIDE=FQ","FILING_STATUS=OR","SCALING_FORMAT=MLN","FA_ADJUSTED=GAAP","Sort=A","Dates=H","DateFormat=P","Fill=—","Direction=H","UseDPDF=Y")</f>
        <v>6816</v>
      </c>
      <c r="K18" s="16">
        <f>_xll.BDH("XOM US Equity","PRETAX_INC","FQ3 2000","FQ3 2000","Currency=USD","Period=FQ","BEST_FPERIOD_OVERRIDE=FQ","FILING_STATUS=OR","SCALING_FORMAT=MLN","FA_ADJUSTED=GAAP","Sort=A","Dates=H","DateFormat=P","Fill=—","Direction=H","UseDPDF=Y")</f>
        <v>6770</v>
      </c>
      <c r="L18" s="16">
        <f>_xll.BDH("XOM US Equity","PRETAX_INC","FQ4 2000","FQ4 2000","Currency=USD","Period=FQ","BEST_FPERIOD_OVERRIDE=FQ","FILING_STATUS=OR","SCALING_FORMAT=MLN","FA_ADJUSTED=GAAP","Sort=A","Dates=H","DateFormat=P","Fill=—","Direction=H","UseDPDF=Y")</f>
        <v>8805</v>
      </c>
      <c r="M18" s="16">
        <f>_xll.BDH("XOM US Equity","PRETAX_INC","FQ1 2001","FQ1 2001","Currency=USD","Period=FQ","BEST_FPERIOD_OVERRIDE=FQ","FILING_STATUS=OR","SCALING_FORMAT=MLN","FA_ADJUSTED=GAAP","Sort=A","Dates=H","DateFormat=P","Fill=—","Direction=H","UseDPDF=Y")</f>
        <v>8432</v>
      </c>
      <c r="N18" s="16">
        <f>_xll.BDH("XOM US Equity","PRETAX_INC","FQ2 2001","FQ2 2001","Currency=USD","Period=FQ","BEST_FPERIOD_OVERRIDE=FQ","FILING_STATUS=OR","SCALING_FORMAT=MLN","FA_ADJUSTED=GAAP","Sort=A","Dates=H","DateFormat=P","Fill=—","Direction=H","UseDPDF=Y")</f>
        <v>6955</v>
      </c>
      <c r="O18" s="16">
        <f>_xll.BDH("XOM US Equity","PRETAX_INC","FQ3 2001","FQ3 2001","Currency=USD","Period=FQ","BEST_FPERIOD_OVERRIDE=FQ","FILING_STATUS=OR","SCALING_FORMAT=MLN","FA_ADJUSTED=GAAP","Sort=A","Dates=H","DateFormat=P","Fill=—","Direction=H","UseDPDF=Y")</f>
        <v>5365</v>
      </c>
      <c r="P18" s="16">
        <f>_xll.BDH("XOM US Equity","PRETAX_INC","FQ4 2001","FQ4 2001","Currency=USD","Period=FQ","BEST_FPERIOD_OVERRIDE=FQ","FILING_STATUS=OR","SCALING_FORMAT=MLN","FA_ADJUSTED=GAAP","Sort=A","Dates=H","DateFormat=P","Fill=—","Direction=H","UseDPDF=Y")</f>
        <v>3936</v>
      </c>
      <c r="Q18" s="16">
        <f>_xll.BDH("XOM US Equity","PRETAX_INC","FQ1 2002","FQ1 2002","Currency=USD","Period=FQ","BEST_FPERIOD_OVERRIDE=FQ","FILING_STATUS=OR","SCALING_FORMAT=MLN","FA_ADJUSTED=GAAP","Sort=A","Dates=H","DateFormat=P","Fill=—","Direction=H","UseDPDF=Y")</f>
        <v>3377</v>
      </c>
      <c r="R18" s="16">
        <f>_xll.BDH("XOM US Equity","PRETAX_INC","FQ2 2002","FQ2 2002","Currency=USD","Period=FQ","BEST_FPERIOD_OVERRIDE=FQ","FILING_STATUS=OR","SCALING_FORMAT=MLN","FA_ADJUSTED=GAAP","Sort=A","Dates=H","DateFormat=P","Fill=—","Direction=H","UseDPDF=Y")</f>
        <v>4311</v>
      </c>
      <c r="S18" s="16">
        <f>_xll.BDH("XOM US Equity","PRETAX_INC","FQ3 2002","FQ3 2002","Currency=USD","Period=FQ","BEST_FPERIOD_OVERRIDE=FQ","FILING_STATUS=OR","SCALING_FORMAT=MLN","FA_ADJUSTED=GAAP","Sort=A","Dates=H","DateFormat=P","Fill=—","Direction=H","UseDPDF=Y")</f>
        <v>4574</v>
      </c>
      <c r="T18" s="16">
        <f>_xll.BDH("XOM US Equity","PRETAX_INC","FQ4 2002","FQ4 2002","Currency=USD","Period=FQ","BEST_FPERIOD_OVERRIDE=FQ","FILING_STATUS=OR","SCALING_FORMAT=MLN","FA_ADJUSTED=GAAP","Sort=A","Dates=H","DateFormat=P","Fill=—","Direction=H","UseDPDF=Y")</f>
        <v>5506</v>
      </c>
      <c r="U18" s="16">
        <f>_xll.BDH("XOM US Equity","PRETAX_INC","FQ1 2003","FQ1 2003","Currency=USD","Period=FQ","BEST_FPERIOD_OVERRIDE=FQ","FILING_STATUS=OR","SCALING_FORMAT=MLN","FA_ADJUSTED=GAAP","Sort=A","Dates=H","DateFormat=P","Fill=—","Direction=H","UseDPDF=Y")</f>
        <v>10251</v>
      </c>
      <c r="V18" s="16">
        <f>_xll.BDH("XOM US Equity","PRETAX_INC","FQ2 2003","FQ2 2003","Currency=USD","Period=FQ","BEST_FPERIOD_OVERRIDE=FQ","FILING_STATUS=OR","SCALING_FORMAT=MLN","FA_ADJUSTED=GAAP","Sort=A","Dates=H","DateFormat=P","Fill=—","Direction=H","UseDPDF=Y")</f>
        <v>6848</v>
      </c>
      <c r="W18" s="16">
        <f>_xll.BDH("XOM US Equity","PRETAX_INC","FQ3 2003","FQ3 2003","Currency=USD","Period=FQ","BEST_FPERIOD_OVERRIDE=FQ","FILING_STATUS=OR","SCALING_FORMAT=MLN","FA_ADJUSTED=GAAP","Sort=A","Dates=H","DateFormat=P","Fill=—","Direction=H","UseDPDF=Y")</f>
        <v>6063</v>
      </c>
      <c r="X18" s="16">
        <f>_xll.BDH("XOM US Equity","PRETAX_INC","FQ4 2003","FQ4 2003","Currency=USD","Period=FQ","BEST_FPERIOD_OVERRIDE=FQ","FILING_STATUS=OR","SCALING_FORMAT=MLN","FA_ADJUSTED=GAAP","Sort=A","Dates=H","DateFormat=P","Fill=—","Direction=H","UseDPDF=Y")</f>
        <v>9498</v>
      </c>
      <c r="Y18" s="16">
        <f>_xll.BDH("XOM US Equity","PRETAX_INC","FQ1 2004","FQ1 2004","Currency=USD","Period=FQ","BEST_FPERIOD_OVERRIDE=FQ","FILING_STATUS=OR","SCALING_FORMAT=MLN","FA_ADJUSTED=GAAP","Sort=A","Dates=H","DateFormat=P","Fill=—","Direction=H","UseDPDF=Y")</f>
        <v>9116</v>
      </c>
      <c r="Z18" s="16">
        <f>_xll.BDH("XOM US Equity","PRETAX_INC","FQ2 2004","FQ2 2004","Currency=USD","Period=FQ","BEST_FPERIOD_OVERRIDE=FQ","FILING_STATUS=OR","SCALING_FORMAT=MLN","FA_ADJUSTED=GAAP","Sort=A","Dates=H","DateFormat=P","Fill=—","Direction=H","UseDPDF=Y")</f>
        <v>9622</v>
      </c>
      <c r="AA18" s="16">
        <f>_xll.BDH("XOM US Equity","PRETAX_INC","FQ3 2004","FQ3 2004","Currency=USD","Period=FQ","BEST_FPERIOD_OVERRIDE=FQ","FILING_STATUS=OR","SCALING_FORMAT=MLN","FA_ADJUSTED=GAAP","Sort=A","Dates=H","DateFormat=P","Fill=—","Direction=H","UseDPDF=Y")</f>
        <v>9733</v>
      </c>
      <c r="AB18" s="16">
        <f>_xll.BDH("XOM US Equity","PRETAX_INC","FQ4 2004","FQ4 2004","Currency=USD","Period=FQ","BEST_FPERIOD_OVERRIDE=FQ","FILING_STATUS=OR","SCALING_FORMAT=MLN","FA_ADJUSTED=GAAP","Sort=A","Dates=H","DateFormat=P","Fill=—","Direction=H","UseDPDF=Y")</f>
        <v>13546</v>
      </c>
      <c r="AC18" s="16">
        <f>_xll.BDH("XOM US Equity","PRETAX_INC","FQ1 2005","FQ1 2005","Currency=USD","Period=FQ","BEST_FPERIOD_OVERRIDE=FQ","FILING_STATUS=OR","SCALING_FORMAT=MLN","FA_ADJUSTED=GAAP","Sort=A","Dates=H","DateFormat=P","Fill=—","Direction=H","UseDPDF=Y")</f>
        <v>12998</v>
      </c>
      <c r="AD18" s="16">
        <f>_xll.BDH("XOM US Equity","PRETAX_INC","FQ2 2005","FQ2 2005","Currency=USD","Period=FQ","BEST_FPERIOD_OVERRIDE=FQ","FILING_STATUS=OR","SCALING_FORMAT=MLN","FA_ADJUSTED=GAAP","Sort=A","Dates=H","DateFormat=P","Fill=—","Direction=H","UseDPDF=Y")</f>
        <v>12958</v>
      </c>
      <c r="AE18" s="16">
        <f>_xll.BDH("XOM US Equity","PRETAX_INC","FQ3 2005","FQ3 2005","Currency=USD","Period=FQ","BEST_FPERIOD_OVERRIDE=FQ","FILING_STATUS=OR","SCALING_FORMAT=MLN","FA_ADJUSTED=GAAP","Sort=A","Dates=H","DateFormat=P","Fill=—","Direction=H","UseDPDF=Y")</f>
        <v>16226</v>
      </c>
      <c r="AF18" s="16">
        <f>_xll.BDH("XOM US Equity","PRETAX_INC","FQ4 2005","FQ4 2005","Currency=USD","Period=FQ","BEST_FPERIOD_OVERRIDE=FQ","FILING_STATUS=OR","SCALING_FORMAT=MLN","FA_ADJUSTED=GAAP","Sort=A","Dates=H","DateFormat=P","Fill=—","Direction=H","UseDPDF=Y")</f>
        <v>18049</v>
      </c>
      <c r="AG18" s="16">
        <f>_xll.BDH("XOM US Equity","PRETAX_INC","FQ1 2006","FQ1 2006","Currency=USD","Period=FQ","BEST_FPERIOD_OVERRIDE=FQ","FILING_STATUS=OR","SCALING_FORMAT=MLN","FA_ADJUSTED=GAAP","Sort=A","Dates=H","DateFormat=P","Fill=—","Direction=H","UseDPDF=Y")</f>
        <v>15641</v>
      </c>
      <c r="AH18" s="16">
        <f>_xll.BDH("XOM US Equity","PRETAX_INC","FQ2 2006","FQ2 2006","Currency=USD","Period=FQ","BEST_FPERIOD_OVERRIDE=FQ","FILING_STATUS=OR","SCALING_FORMAT=MLN","FA_ADJUSTED=GAAP","Sort=A","Dates=H","DateFormat=P","Fill=—","Direction=H","UseDPDF=Y")</f>
        <v>18457</v>
      </c>
      <c r="AI18" s="16">
        <f>_xll.BDH("XOM US Equity","PRETAX_INC","FQ3 2006","FQ3 2006","Currency=USD","Period=FQ","BEST_FPERIOD_OVERRIDE=FQ","FILING_STATUS=OR","SCALING_FORMAT=MLN","FA_ADJUSTED=GAAP","Sort=A","Dates=H","DateFormat=P","Fill=—","Direction=H","UseDPDF=Y")</f>
        <v>18470</v>
      </c>
      <c r="AJ18" s="16">
        <f>_xll.BDH("XOM US Equity","PRETAX_INC","FQ4 2006","FQ4 2006","Currency=USD","Period=FQ","BEST_FPERIOD_OVERRIDE=FQ","FILING_STATUS=OR","SCALING_FORMAT=MLN","FA_ADJUSTED=GAAP","Sort=A","Dates=H","DateFormat=P","Fill=—","Direction=H","UseDPDF=Y")</f>
        <v>15885</v>
      </c>
      <c r="AK18" s="16">
        <f>_xll.BDH("XOM US Equity","PRETAX_INC","FQ1 2007","FQ1 2007","Currency=USD","Period=FQ","BEST_FPERIOD_OVERRIDE=FQ","FILING_STATUS=OR","SCALING_FORMAT=MLN","FA_ADJUSTED=GAAP","Sort=A","Dates=H","DateFormat=P","Fill=—","Direction=H","UseDPDF=Y")</f>
        <v>16314</v>
      </c>
      <c r="AL18" s="16">
        <f>_xll.BDH("XOM US Equity","PRETAX_INC","FQ2 2007","FQ2 2007","Currency=USD","Period=FQ","BEST_FPERIOD_OVERRIDE=FQ","FILING_STATUS=OR","SCALING_FORMAT=MLN","FA_ADJUSTED=GAAP","Sort=A","Dates=H","DateFormat=P","Fill=—","Direction=H","UseDPDF=Y")</f>
        <v>18116</v>
      </c>
      <c r="AM18" s="16">
        <f>_xll.BDH("XOM US Equity","PRETAX_INC","FQ3 2007","FQ3 2007","Currency=USD","Period=FQ","BEST_FPERIOD_OVERRIDE=FQ","FILING_STATUS=OR","SCALING_FORMAT=MLN","FA_ADJUSTED=GAAP","Sort=A","Dates=H","DateFormat=P","Fill=—","Direction=H","UseDPDF=Y")</f>
        <v>17044</v>
      </c>
      <c r="AN18" s="16">
        <f>_xll.BDH("XOM US Equity","PRETAX_INC","FQ4 2007","FQ4 2007","Currency=USD","Period=FQ","BEST_FPERIOD_OVERRIDE=FQ","FILING_STATUS=OR","SCALING_FORMAT=MLN","FA_ADJUSTED=GAAP","Sort=A","Dates=H","DateFormat=P","Fill=—","Direction=H","UseDPDF=Y")</f>
        <v>20005</v>
      </c>
      <c r="AO18" s="16">
        <f>_xll.BDH("XOM US Equity","PRETAX_INC","FQ1 2008","FQ1 2008","Currency=USD","Period=FQ","BEST_FPERIOD_OVERRIDE=FQ","FILING_STATUS=OR","SCALING_FORMAT=MLN","FA_ADJUSTED=GAAP","Sort=A","Dates=H","DateFormat=P","Fill=—","Direction=H","UseDPDF=Y")</f>
        <v>20474</v>
      </c>
      <c r="AP18" s="16">
        <f>_xll.BDH("XOM US Equity","PRETAX_INC","FQ2 2008","FQ2 2008","Currency=USD","Period=FQ","BEST_FPERIOD_OVERRIDE=FQ","FILING_STATUS=OR","SCALING_FORMAT=MLN","FA_ADJUSTED=GAAP","Sort=A","Dates=H","DateFormat=P","Fill=—","Direction=H","UseDPDF=Y")</f>
        <v>22431</v>
      </c>
    </row>
    <row r="19" spans="1:42" x14ac:dyDescent="0.25">
      <c r="A19" s="10" t="s">
        <v>111</v>
      </c>
      <c r="B19" s="10" t="s">
        <v>112</v>
      </c>
      <c r="C19" s="13">
        <f>_xll.BDH("XOM US Equity","IS_INC_TAX_EXP","FQ3 1998","FQ3 1998","Currency=USD","Period=FQ","BEST_FPERIOD_OVERRIDE=FQ","FILING_STATUS=OR","SCALING_FORMAT=MLN","FA_ADJUSTED=GAAP","Sort=A","Dates=H","DateFormat=P","Fill=—","Direction=H","UseDPDF=Y")</f>
        <v>661</v>
      </c>
      <c r="D19" s="13" t="str">
        <f>_xll.BDH("XOM US Equity","IS_INC_TAX_EXP","FQ4 1998","FQ4 1998","Currency=USD","Period=FQ","BEST_FPERIOD_OVERRIDE=FQ","FILING_STATUS=OR","SCALING_FORMAT=MLN","FA_ADJUSTED=GAAP","Sort=A","Dates=H","DateFormat=P","Fill=—","Direction=H","UseDPDF=Y")</f>
        <v>—</v>
      </c>
      <c r="E19" s="13">
        <f>_xll.BDH("XOM US Equity","IS_INC_TAX_EXP","FQ1 1999","FQ1 1999","Currency=USD","Period=FQ","BEST_FPERIOD_OVERRIDE=FQ","FILING_STATUS=OR","SCALING_FORMAT=MLN","FA_ADJUSTED=GAAP","Sort=A","Dates=H","DateFormat=P","Fill=—","Direction=H","UseDPDF=Y")</f>
        <v>-17</v>
      </c>
      <c r="F19" s="13">
        <f>_xll.BDH("XOM US Equity","IS_INC_TAX_EXP","FQ2 1999","FQ2 1999","Currency=USD","Period=FQ","BEST_FPERIOD_OVERRIDE=FQ","FILING_STATUS=OR","SCALING_FORMAT=MLN","FA_ADJUSTED=GAAP","Sort=A","Dates=H","DateFormat=P","Fill=—","Direction=H","UseDPDF=Y")</f>
        <v>466</v>
      </c>
      <c r="G19" s="13">
        <f>_xll.BDH("XOM US Equity","IS_INC_TAX_EXP","FQ3 1999","FQ3 1999","Currency=USD","Period=FQ","BEST_FPERIOD_OVERRIDE=FQ","FILING_STATUS=OR","SCALING_FORMAT=MLN","FA_ADJUSTED=GAAP","Sort=A","Dates=H","DateFormat=P","Fill=—","Direction=H","UseDPDF=Y")</f>
        <v>729</v>
      </c>
      <c r="H19" s="13">
        <f>_xll.BDH("XOM US Equity","IS_INC_TAX_EXP","FQ4 1999","FQ4 1999","Currency=USD","Period=FQ","BEST_FPERIOD_OVERRIDE=FQ","FILING_STATUS=OR","SCALING_FORMAT=MLN","FA_ADJUSTED=GAAP","Sort=A","Dates=H","DateFormat=P","Fill=—","Direction=H","UseDPDF=Y")</f>
        <v>2062</v>
      </c>
      <c r="I19" s="13">
        <f>_xll.BDH("XOM US Equity","IS_INC_TAX_EXP","FQ1 2000","FQ1 2000","Currency=USD","Period=FQ","BEST_FPERIOD_OVERRIDE=FQ","FILING_STATUS=OR","SCALING_FORMAT=MLN","FA_ADJUSTED=GAAP","Sort=A","Dates=H","DateFormat=P","Fill=—","Direction=H","UseDPDF=Y")</f>
        <v>2241</v>
      </c>
      <c r="J19" s="13">
        <f>_xll.BDH("XOM US Equity","IS_INC_TAX_EXP","FQ2 2000","FQ2 2000","Currency=USD","Period=FQ","BEST_FPERIOD_OVERRIDE=FQ","FILING_STATUS=OR","SCALING_FORMAT=MLN","FA_ADJUSTED=GAAP","Sort=A","Dates=H","DateFormat=P","Fill=—","Direction=H","UseDPDF=Y")</f>
        <v>2706</v>
      </c>
      <c r="K19" s="13">
        <f>_xll.BDH("XOM US Equity","IS_INC_TAX_EXP","FQ3 2000","FQ3 2000","Currency=USD","Period=FQ","BEST_FPERIOD_OVERRIDE=FQ","FILING_STATUS=OR","SCALING_FORMAT=MLN","FA_ADJUSTED=GAAP","Sort=A","Dates=H","DateFormat=P","Fill=—","Direction=H","UseDPDF=Y")</f>
        <v>2637</v>
      </c>
      <c r="L19" s="13">
        <f>_xll.BDH("XOM US Equity","IS_INC_TAX_EXP","FQ4 2000","FQ4 2000","Currency=USD","Period=FQ","BEST_FPERIOD_OVERRIDE=FQ","FILING_STATUS=OR","SCALING_FORMAT=MLN","FA_ADJUSTED=GAAP","Sort=A","Dates=H","DateFormat=P","Fill=—","Direction=H","UseDPDF=Y")</f>
        <v>3507</v>
      </c>
      <c r="M19" s="13">
        <f>_xll.BDH("XOM US Equity","IS_INC_TAX_EXP","FQ1 2001","FQ1 2001","Currency=USD","Period=FQ","BEST_FPERIOD_OVERRIDE=FQ","FILING_STATUS=OR","SCALING_FORMAT=MLN","FA_ADJUSTED=GAAP","Sort=A","Dates=H","DateFormat=P","Fill=—","Direction=H","UseDPDF=Y")</f>
        <v>3260</v>
      </c>
      <c r="N19" s="13">
        <f>_xll.BDH("XOM US Equity","IS_INC_TAX_EXP","FQ2 2001","FQ2 2001","Currency=USD","Period=FQ","BEST_FPERIOD_OVERRIDE=FQ","FILING_STATUS=OR","SCALING_FORMAT=MLN","FA_ADJUSTED=GAAP","Sort=A","Dates=H","DateFormat=P","Fill=—","Direction=H","UseDPDF=Y")</f>
        <v>2587</v>
      </c>
      <c r="O19" s="13">
        <f>_xll.BDH("XOM US Equity","IS_INC_TAX_EXP","FQ3 2001","FQ3 2001","Currency=USD","Period=FQ","BEST_FPERIOD_OVERRIDE=FQ","FILING_STATUS=OR","SCALING_FORMAT=MLN","FA_ADJUSTED=GAAP","Sort=A","Dates=H","DateFormat=P","Fill=—","Direction=H","UseDPDF=Y")</f>
        <v>2060</v>
      </c>
      <c r="P19" s="13">
        <f>_xll.BDH("XOM US Equity","IS_INC_TAX_EXP","FQ4 2001","FQ4 2001","Currency=USD","Period=FQ","BEST_FPERIOD_OVERRIDE=FQ","FILING_STATUS=OR","SCALING_FORMAT=MLN","FA_ADJUSTED=GAAP","Sort=A","Dates=H","DateFormat=P","Fill=—","Direction=H","UseDPDF=Y")</f>
        <v>1107</v>
      </c>
      <c r="Q19" s="13">
        <f>_xll.BDH("XOM US Equity","IS_INC_TAX_EXP","FQ1 2002","FQ1 2002","Currency=USD","Period=FQ","BEST_FPERIOD_OVERRIDE=FQ","FILING_STATUS=OR","SCALING_FORMAT=MLN","FA_ADJUSTED=GAAP","Sort=A","Dates=H","DateFormat=P","Fill=—","Direction=H","UseDPDF=Y")</f>
        <v>1272</v>
      </c>
      <c r="R19" s="13">
        <f>_xll.BDH("XOM US Equity","IS_INC_TAX_EXP","FQ2 2002","FQ2 2002","Currency=USD","Period=FQ","BEST_FPERIOD_OVERRIDE=FQ","FILING_STATUS=OR","SCALING_FORMAT=MLN","FA_ADJUSTED=GAAP","Sort=A","Dates=H","DateFormat=P","Fill=—","Direction=H","UseDPDF=Y")</f>
        <v>1654</v>
      </c>
      <c r="S19" s="13">
        <f>_xll.BDH("XOM US Equity","IS_INC_TAX_EXP","FQ3 2002","FQ3 2002","Currency=USD","Period=FQ","BEST_FPERIOD_OVERRIDE=FQ","FILING_STATUS=OR","SCALING_FORMAT=MLN","FA_ADJUSTED=GAAP","Sort=A","Dates=H","DateFormat=P","Fill=—","Direction=H","UseDPDF=Y")</f>
        <v>1858</v>
      </c>
      <c r="T19" s="13">
        <f>_xll.BDH("XOM US Equity","IS_INC_TAX_EXP","FQ4 2002","FQ4 2002","Currency=USD","Period=FQ","BEST_FPERIOD_OVERRIDE=FQ","FILING_STATUS=OR","SCALING_FORMAT=MLN","FA_ADJUSTED=GAAP","Sort=A","Dates=H","DateFormat=P","Fill=—","Direction=H","UseDPDF=Y")</f>
        <v>1715</v>
      </c>
      <c r="U19" s="13">
        <f>_xll.BDH("XOM US Equity","IS_INC_TAX_EXP","FQ1 2003","FQ1 2003","Currency=USD","Period=FQ","BEST_FPERIOD_OVERRIDE=FQ","FILING_STATUS=OR","SCALING_FORMAT=MLN","FA_ADJUSTED=GAAP","Sort=A","Dates=H","DateFormat=P","Fill=—","Direction=H","UseDPDF=Y")</f>
        <v>3388</v>
      </c>
      <c r="V19" s="13">
        <f>_xll.BDH("XOM US Equity","IS_INC_TAX_EXP","FQ2 2003","FQ2 2003","Currency=USD","Period=FQ","BEST_FPERIOD_OVERRIDE=FQ","FILING_STATUS=OR","SCALING_FORMAT=MLN","FA_ADJUSTED=GAAP","Sort=A","Dates=H","DateFormat=P","Fill=—","Direction=H","UseDPDF=Y")</f>
        <v>2578</v>
      </c>
      <c r="W19" s="13">
        <f>_xll.BDH("XOM US Equity","IS_INC_TAX_EXP","FQ3 2003","FQ3 2003","Currency=USD","Period=FQ","BEST_FPERIOD_OVERRIDE=FQ","FILING_STATUS=OR","SCALING_FORMAT=MLN","FA_ADJUSTED=GAAP","Sort=A","Dates=H","DateFormat=P","Fill=—","Direction=H","UseDPDF=Y")</f>
        <v>2312</v>
      </c>
      <c r="X19" s="13">
        <f>_xll.BDH("XOM US Equity","IS_INC_TAX_EXP","FQ4 2003","FQ4 2003","Currency=USD","Period=FQ","BEST_FPERIOD_OVERRIDE=FQ","FILING_STATUS=OR","SCALING_FORMAT=MLN","FA_ADJUSTED=GAAP","Sort=A","Dates=H","DateFormat=P","Fill=—","Direction=H","UseDPDF=Y")</f>
        <v>2728</v>
      </c>
      <c r="Y19" s="13">
        <f>_xll.BDH("XOM US Equity","IS_INC_TAX_EXP","FQ1 2004","FQ1 2004","Currency=USD","Period=FQ","BEST_FPERIOD_OVERRIDE=FQ","FILING_STATUS=OR","SCALING_FORMAT=MLN","FA_ADJUSTED=GAAP","Sort=A","Dates=H","DateFormat=P","Fill=—","Direction=H","UseDPDF=Y")</f>
        <v>3522</v>
      </c>
      <c r="Z19" s="13">
        <f>_xll.BDH("XOM US Equity","IS_INC_TAX_EXP","FQ2 2004","FQ2 2004","Currency=USD","Period=FQ","BEST_FPERIOD_OVERRIDE=FQ","FILING_STATUS=OR","SCALING_FORMAT=MLN","FA_ADJUSTED=GAAP","Sort=A","Dates=H","DateFormat=P","Fill=—","Direction=H","UseDPDF=Y")</f>
        <v>3690</v>
      </c>
      <c r="AA19" s="13">
        <f>_xll.BDH("XOM US Equity","IS_INC_TAX_EXP","FQ3 2004","FQ3 2004","Currency=USD","Period=FQ","BEST_FPERIOD_OVERRIDE=FQ","FILING_STATUS=OR","SCALING_FORMAT=MLN","FA_ADJUSTED=GAAP","Sort=A","Dates=H","DateFormat=P","Fill=—","Direction=H","UseDPDF=Y")</f>
        <v>3854</v>
      </c>
      <c r="AB19" s="13">
        <f>_xll.BDH("XOM US Equity","IS_INC_TAX_EXP","FQ4 2004","FQ4 2004","Currency=USD","Period=FQ","BEST_FPERIOD_OVERRIDE=FQ","FILING_STATUS=OR","SCALING_FORMAT=MLN","FA_ADJUSTED=GAAP","Sort=A","Dates=H","DateFormat=P","Fill=—","Direction=H","UseDPDF=Y")</f>
        <v>4845</v>
      </c>
      <c r="AC19" s="13">
        <f>_xll.BDH("XOM US Equity","IS_INC_TAX_EXP","FQ1 2005","FQ1 2005","Currency=USD","Period=FQ","BEST_FPERIOD_OVERRIDE=FQ","FILING_STATUS=OR","SCALING_FORMAT=MLN","FA_ADJUSTED=GAAP","Sort=A","Dates=H","DateFormat=P","Fill=—","Direction=H","UseDPDF=Y")</f>
        <v>5043</v>
      </c>
      <c r="AD19" s="13">
        <f>_xll.BDH("XOM US Equity","IS_INC_TAX_EXP","FQ2 2005","FQ2 2005","Currency=USD","Period=FQ","BEST_FPERIOD_OVERRIDE=FQ","FILING_STATUS=OR","SCALING_FORMAT=MLN","FA_ADJUSTED=GAAP","Sort=A","Dates=H","DateFormat=P","Fill=—","Direction=H","UseDPDF=Y")</f>
        <v>5119</v>
      </c>
      <c r="AE19" s="13">
        <f>_xll.BDH("XOM US Equity","IS_INC_TAX_EXP","FQ3 2005","FQ3 2005","Currency=USD","Period=FQ","BEST_FPERIOD_OVERRIDE=FQ","FILING_STATUS=OR","SCALING_FORMAT=MLN","FA_ADJUSTED=GAAP","Sort=A","Dates=H","DateFormat=P","Fill=—","Direction=H","UseDPDF=Y")</f>
        <v>6132</v>
      </c>
      <c r="AF19" s="13">
        <f>_xll.BDH("XOM US Equity","IS_INC_TAX_EXP","FQ4 2005","FQ4 2005","Currency=USD","Period=FQ","BEST_FPERIOD_OVERRIDE=FQ","FILING_STATUS=OR","SCALING_FORMAT=MLN","FA_ADJUSTED=GAAP","Sort=A","Dates=H","DateFormat=P","Fill=—","Direction=H","UseDPDF=Y")</f>
        <v>7008</v>
      </c>
      <c r="AG19" s="13">
        <f>_xll.BDH("XOM US Equity","IS_INC_TAX_EXP","FQ1 2006","FQ1 2006","Currency=USD","Period=FQ","BEST_FPERIOD_OVERRIDE=FQ","FILING_STATUS=OR","SCALING_FORMAT=MLN","FA_ADJUSTED=GAAP","Sort=A","Dates=H","DateFormat=P","Fill=—","Direction=H","UseDPDF=Y")</f>
        <v>7059</v>
      </c>
      <c r="AH19" s="13">
        <f>_xll.BDH("XOM US Equity","IS_INC_TAX_EXP","FQ2 2006","FQ2 2006","Currency=USD","Period=FQ","BEST_FPERIOD_OVERRIDE=FQ","FILING_STATUS=OR","SCALING_FORMAT=MLN","FA_ADJUSTED=GAAP","Sort=A","Dates=H","DateFormat=P","Fill=—","Direction=H","UseDPDF=Y")</f>
        <v>7844</v>
      </c>
      <c r="AI19" s="13">
        <f>_xll.BDH("XOM US Equity","IS_INC_TAX_EXP","FQ3 2006","FQ3 2006","Currency=USD","Period=FQ","BEST_FPERIOD_OVERRIDE=FQ","FILING_STATUS=OR","SCALING_FORMAT=MLN","FA_ADJUSTED=GAAP","Sort=A","Dates=H","DateFormat=P","Fill=—","Direction=H","UseDPDF=Y")</f>
        <v>7688</v>
      </c>
      <c r="AJ19" s="13">
        <f>_xll.BDH("XOM US Equity","IS_INC_TAX_EXP","FQ4 2006","FQ4 2006","Currency=USD","Period=FQ","BEST_FPERIOD_OVERRIDE=FQ","FILING_STATUS=OR","SCALING_FORMAT=MLN","FA_ADJUSTED=GAAP","Sort=A","Dates=H","DateFormat=P","Fill=—","Direction=H","UseDPDF=Y")</f>
        <v>5311</v>
      </c>
      <c r="AK19" s="13">
        <f>_xll.BDH("XOM US Equity","IS_INC_TAX_EXP","FQ1 2007","FQ1 2007","Currency=USD","Period=FQ","BEST_FPERIOD_OVERRIDE=FQ","FILING_STATUS=OR","SCALING_FORMAT=MLN","FA_ADJUSTED=GAAP","Sort=A","Dates=H","DateFormat=P","Fill=—","Direction=H","UseDPDF=Y")</f>
        <v>6784</v>
      </c>
      <c r="AL19" s="13">
        <f>_xll.BDH("XOM US Equity","IS_INC_TAX_EXP","FQ2 2007","FQ2 2007","Currency=USD","Period=FQ","BEST_FPERIOD_OVERRIDE=FQ","FILING_STATUS=OR","SCALING_FORMAT=MLN","FA_ADJUSTED=GAAP","Sort=A","Dates=H","DateFormat=P","Fill=—","Direction=H","UseDPDF=Y")</f>
        <v>7668</v>
      </c>
      <c r="AM19" s="13">
        <f>_xll.BDH("XOM US Equity","IS_INC_TAX_EXP","FQ3 2007","FQ3 2007","Currency=USD","Period=FQ","BEST_FPERIOD_OVERRIDE=FQ","FILING_STATUS=OR","SCALING_FORMAT=MLN","FA_ADJUSTED=GAAP","Sort=A","Dates=H","DateFormat=P","Fill=—","Direction=H","UseDPDF=Y")</f>
        <v>7350</v>
      </c>
      <c r="AN19" s="13">
        <f>_xll.BDH("XOM US Equity","IS_INC_TAX_EXP","FQ4 2007","FQ4 2007","Currency=USD","Period=FQ","BEST_FPERIOD_OVERRIDE=FQ","FILING_STATUS=OR","SCALING_FORMAT=MLN","FA_ADJUSTED=GAAP","Sort=A","Dates=H","DateFormat=P","Fill=—","Direction=H","UseDPDF=Y")</f>
        <v>8062</v>
      </c>
      <c r="AO19" s="13">
        <f>_xll.BDH("XOM US Equity","IS_INC_TAX_EXP","FQ1 2008","FQ1 2008","Currency=USD","Period=FQ","BEST_FPERIOD_OVERRIDE=FQ","FILING_STATUS=OR","SCALING_FORMAT=MLN","FA_ADJUSTED=GAAP","Sort=A","Dates=H","DateFormat=P","Fill=—","Direction=H","UseDPDF=Y")</f>
        <v>9302</v>
      </c>
      <c r="AP19" s="13">
        <f>_xll.BDH("XOM US Equity","IS_INC_TAX_EXP","FQ2 2008","FQ2 2008","Currency=USD","Period=FQ","BEST_FPERIOD_OVERRIDE=FQ","FILING_STATUS=OR","SCALING_FORMAT=MLN","FA_ADJUSTED=GAAP","Sort=A","Dates=H","DateFormat=P","Fill=—","Direction=H","UseDPDF=Y")</f>
        <v>10526</v>
      </c>
    </row>
    <row r="20" spans="1:42" x14ac:dyDescent="0.25">
      <c r="A20" s="6" t="s">
        <v>113</v>
      </c>
      <c r="B20" s="6" t="s">
        <v>114</v>
      </c>
      <c r="C20" s="16">
        <f>_xll.BDH("XOM US Equity","IS_INC_BEF_XO_ITEM","FQ3 1998","FQ3 1998","Currency=USD","Period=FQ","BEST_FPERIOD_OVERRIDE=FQ","FILING_STATUS=OR","SCALING_FORMAT=MLN","Sort=A","Dates=H","DateFormat=P","Fill=—","Direction=H","UseDPDF=Y")</f>
        <v>1484</v>
      </c>
      <c r="D20" s="16">
        <f>_xll.BDH("XOM US Equity","IS_INC_BEF_XO_ITEM","FQ4 1998","FQ4 1998","Currency=USD","Period=FQ","BEST_FPERIOD_OVERRIDE=FQ","FILING_STATUS=OR","SCALING_FORMAT=MLN","Sort=A","Dates=H","DateFormat=P","Fill=—","Direction=H","UseDPDF=Y")</f>
        <v>1530</v>
      </c>
      <c r="E20" s="16">
        <f>_xll.BDH("XOM US Equity","IS_INC_BEF_XO_ITEM","FQ1 1999","FQ1 1999","Currency=USD","Period=FQ","BEST_FPERIOD_OVERRIDE=FQ","FILING_STATUS=OR","SCALING_FORMAT=MLN","Sort=A","Dates=H","DateFormat=P","Fill=—","Direction=H","UseDPDF=Y")</f>
        <v>953</v>
      </c>
      <c r="F20" s="16">
        <f>_xll.BDH("XOM US Equity","IS_INC_BEF_XO_ITEM","FQ2 1999","FQ2 1999","Currency=USD","Period=FQ","BEST_FPERIOD_OVERRIDE=FQ","FILING_STATUS=OR","SCALING_FORMAT=MLN","Sort=A","Dates=H","DateFormat=P","Fill=—","Direction=H","UseDPDF=Y")</f>
        <v>1211</v>
      </c>
      <c r="G20" s="16">
        <f>_xll.BDH("XOM US Equity","IS_INC_BEF_XO_ITEM","FQ3 1999","FQ3 1999","Currency=USD","Period=FQ","BEST_FPERIOD_OVERRIDE=FQ","FILING_STATUS=OR","SCALING_FORMAT=MLN","Sort=A","Dates=H","DateFormat=P","Fill=—","Direction=H","UseDPDF=Y")</f>
        <v>1530</v>
      </c>
      <c r="H20" s="16">
        <f>_xll.BDH("XOM US Equity","IS_INC_BEF_XO_ITEM","FQ4 1999","FQ4 1999","Currency=USD","Period=FQ","BEST_FPERIOD_OVERRIDE=FQ","FILING_STATUS=OR","SCALING_FORMAT=MLN","Sort=A","Dates=H","DateFormat=P","Fill=—","Direction=H","UseDPDF=Y")</f>
        <v>4361</v>
      </c>
      <c r="I20" s="16">
        <f>_xll.BDH("XOM US Equity","IS_INC_BEF_XO_ITEM","FQ1 2000","FQ1 2000","Currency=USD","Period=FQ","BEST_FPERIOD_OVERRIDE=FQ","FILING_STATUS=OR","SCALING_FORMAT=MLN","Sort=A","Dates=H","DateFormat=P","Fill=—","Direction=H","UseDPDF=Y")</f>
        <v>3097</v>
      </c>
      <c r="J20" s="16">
        <f>_xll.BDH("XOM US Equity","IS_INC_BEF_XO_ITEM","FQ2 2000","FQ2 2000","Currency=USD","Period=FQ","BEST_FPERIOD_OVERRIDE=FQ","FILING_STATUS=OR","SCALING_FORMAT=MLN","Sort=A","Dates=H","DateFormat=P","Fill=—","Direction=H","UseDPDF=Y")</f>
        <v>4110</v>
      </c>
      <c r="K20" s="16">
        <f>_xll.BDH("XOM US Equity","IS_INC_BEF_XO_ITEM","FQ3 2000","FQ3 2000","Currency=USD","Period=FQ","BEST_FPERIOD_OVERRIDE=FQ","FILING_STATUS=OR","SCALING_FORMAT=MLN","Sort=A","Dates=H","DateFormat=P","Fill=—","Direction=H","UseDPDF=Y")</f>
        <v>4133</v>
      </c>
      <c r="L20" s="16">
        <f>_xll.BDH("XOM US Equity","IS_INC_BEF_XO_ITEM","FQ4 2000","FQ4 2000","Currency=USD","Period=FQ","BEST_FPERIOD_OVERRIDE=FQ","FILING_STATUS=OR","SCALING_FORMAT=MLN","Sort=A","Dates=H","DateFormat=P","Fill=—","Direction=H","UseDPDF=Y")</f>
        <v>5062</v>
      </c>
      <c r="M20" s="16">
        <f>_xll.BDH("XOM US Equity","IS_INC_BEF_XO_ITEM","FQ1 2001","FQ1 2001","Currency=USD","Period=FQ","BEST_FPERIOD_OVERRIDE=FQ","FILING_STATUS=OR","SCALING_FORMAT=MLN","Sort=A","Dates=H","DateFormat=P","Fill=—","Direction=H","UseDPDF=Y")</f>
        <v>5172</v>
      </c>
      <c r="N20" s="16">
        <f>_xll.BDH("XOM US Equity","IS_INC_BEF_XO_ITEM","FQ2 2001","FQ2 2001","Currency=USD","Period=FQ","BEST_FPERIOD_OVERRIDE=FQ","FILING_STATUS=OR","SCALING_FORMAT=MLN","Sort=A","Dates=H","DateFormat=P","Fill=—","Direction=H","UseDPDF=Y")</f>
        <v>4368</v>
      </c>
      <c r="O20" s="16">
        <f>_xll.BDH("XOM US Equity","IS_INC_BEF_XO_ITEM","FQ3 2001","FQ3 2001","Currency=USD","Period=FQ","BEST_FPERIOD_OVERRIDE=FQ","FILING_STATUS=OR","SCALING_FORMAT=MLN","Sort=A","Dates=H","DateFormat=P","Fill=—","Direction=H","UseDPDF=Y")</f>
        <v>3305</v>
      </c>
      <c r="P20" s="16">
        <f>_xll.BDH("XOM US Equity","IS_INC_BEF_XO_ITEM","FQ4 2001","FQ4 2001","Currency=USD","Period=FQ","BEST_FPERIOD_OVERRIDE=FQ","FILING_STATUS=OR","SCALING_FORMAT=MLN","Sort=A","Dates=H","DateFormat=P","Fill=—","Direction=H","UseDPDF=Y")</f>
        <v>2829</v>
      </c>
      <c r="Q20" s="16">
        <f>_xll.BDH("XOM US Equity","IS_INC_BEF_XO_ITEM","FQ1 2002","FQ1 2002","Currency=USD","Period=FQ","BEST_FPERIOD_OVERRIDE=FQ","FILING_STATUS=OR","SCALING_FORMAT=MLN","Sort=A","Dates=H","DateFormat=P","Fill=—","Direction=H","UseDPDF=Y")</f>
        <v>2105</v>
      </c>
      <c r="R20" s="16">
        <f>_xll.BDH("XOM US Equity","IS_INC_BEF_XO_ITEM","FQ2 2002","FQ2 2002","Currency=USD","Period=FQ","BEST_FPERIOD_OVERRIDE=FQ","FILING_STATUS=OR","SCALING_FORMAT=MLN","Sort=A","Dates=H","DateFormat=P","Fill=—","Direction=H","UseDPDF=Y")</f>
        <v>2657</v>
      </c>
      <c r="S20" s="16">
        <f>_xll.BDH("XOM US Equity","IS_INC_BEF_XO_ITEM","FQ3 2002","FQ3 2002","Currency=USD","Period=FQ","BEST_FPERIOD_OVERRIDE=FQ","FILING_STATUS=OR","SCALING_FORMAT=MLN","Sort=A","Dates=H","DateFormat=P","Fill=—","Direction=H","UseDPDF=Y")</f>
        <v>2716</v>
      </c>
      <c r="T20" s="16">
        <f>_xll.BDH("XOM US Equity","IS_INC_BEF_XO_ITEM","FQ4 2002","FQ4 2002","Currency=USD","Period=FQ","BEST_FPERIOD_OVERRIDE=FQ","FILING_STATUS=OR","SCALING_FORMAT=MLN","Sort=A","Dates=H","DateFormat=P","Fill=—","Direction=H","UseDPDF=Y")</f>
        <v>3791</v>
      </c>
      <c r="U20" s="16">
        <f>_xll.BDH("XOM US Equity","IS_INC_BEF_XO_ITEM","FQ1 2003","FQ1 2003","Currency=USD","Period=FQ","BEST_FPERIOD_OVERRIDE=FQ","FILING_STATUS=OR","SCALING_FORMAT=MLN","Sort=A","Dates=H","DateFormat=P","Fill=—","Direction=H","UseDPDF=Y")</f>
        <v>6863</v>
      </c>
      <c r="V20" s="16">
        <f>_xll.BDH("XOM US Equity","IS_INC_BEF_XO_ITEM","FQ2 2003","FQ2 2003","Currency=USD","Period=FQ","BEST_FPERIOD_OVERRIDE=FQ","FILING_STATUS=OR","SCALING_FORMAT=MLN","Sort=A","Dates=H","DateFormat=P","Fill=—","Direction=H","UseDPDF=Y")</f>
        <v>4270</v>
      </c>
      <c r="W20" s="16">
        <f>_xll.BDH("XOM US Equity","IS_INC_BEF_XO_ITEM","FQ3 2003","FQ3 2003","Currency=USD","Period=FQ","BEST_FPERIOD_OVERRIDE=FQ","FILING_STATUS=OR","SCALING_FORMAT=MLN","Sort=A","Dates=H","DateFormat=P","Fill=—","Direction=H","UseDPDF=Y")</f>
        <v>3751</v>
      </c>
      <c r="X20" s="16">
        <f>_xll.BDH("XOM US Equity","IS_INC_BEF_XO_ITEM","FQ4 2003","FQ4 2003","Currency=USD","Period=FQ","BEST_FPERIOD_OVERRIDE=FQ","FILING_STATUS=OR","SCALING_FORMAT=MLN","Sort=A","Dates=H","DateFormat=P","Fill=—","Direction=H","UseDPDF=Y")</f>
        <v>6770</v>
      </c>
      <c r="Y20" s="16">
        <f>_xll.BDH("XOM US Equity","IS_INC_BEF_XO_ITEM","FQ1 2004","FQ1 2004","Currency=USD","Period=FQ","BEST_FPERIOD_OVERRIDE=FQ","FILING_STATUS=OR","SCALING_FORMAT=MLN","Sort=A","Dates=H","DateFormat=P","Fill=—","Direction=H","UseDPDF=Y")</f>
        <v>5594</v>
      </c>
      <c r="Z20" s="16">
        <f>_xll.BDH("XOM US Equity","IS_INC_BEF_XO_ITEM","FQ2 2004","FQ2 2004","Currency=USD","Period=FQ","BEST_FPERIOD_OVERRIDE=FQ","FILING_STATUS=OR","SCALING_FORMAT=MLN","Sort=A","Dates=H","DateFormat=P","Fill=—","Direction=H","UseDPDF=Y")</f>
        <v>5932</v>
      </c>
      <c r="AA20" s="16">
        <f>_xll.BDH("XOM US Equity","IS_INC_BEF_XO_ITEM","FQ3 2004","FQ3 2004","Currency=USD","Period=FQ","BEST_FPERIOD_OVERRIDE=FQ","FILING_STATUS=OR","SCALING_FORMAT=MLN","Sort=A","Dates=H","DateFormat=P","Fill=—","Direction=H","UseDPDF=Y")</f>
        <v>5879</v>
      </c>
      <c r="AB20" s="16">
        <f>_xll.BDH("XOM US Equity","IS_INC_BEF_XO_ITEM","FQ4 2004","FQ4 2004","Currency=USD","Period=FQ","BEST_FPERIOD_OVERRIDE=FQ","FILING_STATUS=OR","SCALING_FORMAT=MLN","Sort=A","Dates=H","DateFormat=P","Fill=—","Direction=H","UseDPDF=Y")</f>
        <v>8701</v>
      </c>
      <c r="AC20" s="16">
        <f>_xll.BDH("XOM US Equity","IS_INC_BEF_XO_ITEM","FQ1 2005","FQ1 2005","Currency=USD","Period=FQ","BEST_FPERIOD_OVERRIDE=FQ","FILING_STATUS=OR","SCALING_FORMAT=MLN","Sort=A","Dates=H","DateFormat=P","Fill=—","Direction=H","UseDPDF=Y")</f>
        <v>7955</v>
      </c>
      <c r="AD20" s="16">
        <f>_xll.BDH("XOM US Equity","IS_INC_BEF_XO_ITEM","FQ2 2005","FQ2 2005","Currency=USD","Period=FQ","BEST_FPERIOD_OVERRIDE=FQ","FILING_STATUS=OR","SCALING_FORMAT=MLN","Sort=A","Dates=H","DateFormat=P","Fill=—","Direction=H","UseDPDF=Y")</f>
        <v>7839</v>
      </c>
      <c r="AE20" s="16">
        <f>_xll.BDH("XOM US Equity","IS_INC_BEF_XO_ITEM","FQ3 2005","FQ3 2005","Currency=USD","Period=FQ","BEST_FPERIOD_OVERRIDE=FQ","FILING_STATUS=OR","SCALING_FORMAT=MLN","Sort=A","Dates=H","DateFormat=P","Fill=—","Direction=H","UseDPDF=Y")</f>
        <v>10094</v>
      </c>
      <c r="AF20" s="16">
        <f>_xll.BDH("XOM US Equity","IS_INC_BEF_XO_ITEM","FQ4 2005","FQ4 2005","Currency=USD","Period=FQ","BEST_FPERIOD_OVERRIDE=FQ","FILING_STATUS=OR","SCALING_FORMAT=MLN","Sort=A","Dates=H","DateFormat=P","Fill=—","Direction=H","UseDPDF=Y")</f>
        <v>11041</v>
      </c>
      <c r="AG20" s="16">
        <f>_xll.BDH("XOM US Equity","IS_INC_BEF_XO_ITEM","FQ1 2006","FQ1 2006","Currency=USD","Period=FQ","BEST_FPERIOD_OVERRIDE=FQ","FILING_STATUS=OR","SCALING_FORMAT=MLN","Sort=A","Dates=H","DateFormat=P","Fill=—","Direction=H","UseDPDF=Y")</f>
        <v>8582</v>
      </c>
      <c r="AH20" s="16">
        <f>_xll.BDH("XOM US Equity","IS_INC_BEF_XO_ITEM","FQ2 2006","FQ2 2006","Currency=USD","Period=FQ","BEST_FPERIOD_OVERRIDE=FQ","FILING_STATUS=OR","SCALING_FORMAT=MLN","Sort=A","Dates=H","DateFormat=P","Fill=—","Direction=H","UseDPDF=Y")</f>
        <v>10613</v>
      </c>
      <c r="AI20" s="16">
        <f>_xll.BDH("XOM US Equity","IS_INC_BEF_XO_ITEM","FQ3 2006","FQ3 2006","Currency=USD","Period=FQ","BEST_FPERIOD_OVERRIDE=FQ","FILING_STATUS=OR","SCALING_FORMAT=MLN","Sort=A","Dates=H","DateFormat=P","Fill=—","Direction=H","UseDPDF=Y")</f>
        <v>10782</v>
      </c>
      <c r="AJ20" s="16">
        <f>_xll.BDH("XOM US Equity","IS_INC_BEF_XO_ITEM","FQ4 2006","FQ4 2006","Currency=USD","Period=FQ","BEST_FPERIOD_OVERRIDE=FQ","FILING_STATUS=OR","SCALING_FORMAT=MLN","Sort=A","Dates=H","DateFormat=P","Fill=—","Direction=H","UseDPDF=Y")</f>
        <v>10574</v>
      </c>
      <c r="AK20" s="16">
        <f>_xll.BDH("XOM US Equity","IS_INC_BEF_XO_ITEM","FQ1 2007","FQ1 2007","Currency=USD","Period=FQ","BEST_FPERIOD_OVERRIDE=FQ","FILING_STATUS=OR","SCALING_FORMAT=MLN","Sort=A","Dates=H","DateFormat=P","Fill=—","Direction=H","UseDPDF=Y")</f>
        <v>9530</v>
      </c>
      <c r="AL20" s="16">
        <f>_xll.BDH("XOM US Equity","IS_INC_BEF_XO_ITEM","FQ2 2007","FQ2 2007","Currency=USD","Period=FQ","BEST_FPERIOD_OVERRIDE=FQ","FILING_STATUS=OR","SCALING_FORMAT=MLN","Sort=A","Dates=H","DateFormat=P","Fill=—","Direction=H","UseDPDF=Y")</f>
        <v>10448</v>
      </c>
      <c r="AM20" s="16">
        <f>_xll.BDH("XOM US Equity","IS_INC_BEF_XO_ITEM","FQ3 2007","FQ3 2007","Currency=USD","Period=FQ","BEST_FPERIOD_OVERRIDE=FQ","FILING_STATUS=OR","SCALING_FORMAT=MLN","Sort=A","Dates=H","DateFormat=P","Fill=—","Direction=H","UseDPDF=Y")</f>
        <v>9694</v>
      </c>
      <c r="AN20" s="16">
        <f>_xll.BDH("XOM US Equity","IS_INC_BEF_XO_ITEM","FQ4 2007","FQ4 2007","Currency=USD","Period=FQ","BEST_FPERIOD_OVERRIDE=FQ","FILING_STATUS=OR","SCALING_FORMAT=MLN","Sort=A","Dates=H","DateFormat=P","Fill=—","Direction=H","UseDPDF=Y")</f>
        <v>11943</v>
      </c>
      <c r="AO20" s="16">
        <f>_xll.BDH("XOM US Equity","IS_INC_BEF_XO_ITEM","FQ1 2008","FQ1 2008","Currency=USD","Period=FQ","BEST_FPERIOD_OVERRIDE=FQ","FILING_STATUS=OR","SCALING_FORMAT=MLN","Sort=A","Dates=H","DateFormat=P","Fill=—","Direction=H","UseDPDF=Y")</f>
        <v>11172</v>
      </c>
      <c r="AP20" s="16">
        <f>_xll.BDH("XOM US Equity","IS_INC_BEF_XO_ITEM","FQ2 2008","FQ2 2008","Currency=USD","Period=FQ","BEST_FPERIOD_OVERRIDE=FQ","FILING_STATUS=OR","SCALING_FORMAT=MLN","Sort=A","Dates=H","DateFormat=P","Fill=—","Direction=H","UseDPDF=Y")</f>
        <v>11905</v>
      </c>
    </row>
    <row r="21" spans="1:42" x14ac:dyDescent="0.25">
      <c r="A21" s="10" t="s">
        <v>115</v>
      </c>
      <c r="B21" s="10" t="s">
        <v>116</v>
      </c>
      <c r="C21" s="13">
        <f>_xll.BDH("XOM US Equity","XO_GL_NET_OF_TAX","FQ3 1998","FQ3 1998","Currency=USD","Period=FQ","BEST_FPERIOD_OVERRIDE=FQ","FILING_STATUS=OR","SCALING_FORMAT=MLN","Sort=A","Dates=H","DateFormat=P","Fill=—","Direction=H","UseDPDF=Y")</f>
        <v>0</v>
      </c>
      <c r="D21" s="13">
        <f>_xll.BDH("XOM US Equity","XO_GL_NET_OF_TAX","FQ4 1998","FQ4 1998","Currency=USD","Period=FQ","BEST_FPERIOD_OVERRIDE=FQ","FILING_STATUS=OR","SCALING_FORMAT=MLN","Sort=A","Dates=H","DateFormat=P","Fill=—","Direction=H","UseDPDF=Y")</f>
        <v>0</v>
      </c>
      <c r="E21" s="13">
        <f>_xll.BDH("XOM US Equity","XO_GL_NET_OF_TAX","FQ1 1999","FQ1 1999","Currency=USD","Period=FQ","BEST_FPERIOD_OVERRIDE=FQ","FILING_STATUS=OR","SCALING_FORMAT=MLN","Sort=A","Dates=H","DateFormat=P","Fill=—","Direction=H","UseDPDF=Y")</f>
        <v>0</v>
      </c>
      <c r="F21" s="13">
        <f>_xll.BDH("XOM US Equity","XO_GL_NET_OF_TAX","FQ2 1999","FQ2 1999","Currency=USD","Period=FQ","BEST_FPERIOD_OVERRIDE=FQ","FILING_STATUS=OR","SCALING_FORMAT=MLN","Sort=A","Dates=H","DateFormat=P","Fill=—","Direction=H","UseDPDF=Y")</f>
        <v>0</v>
      </c>
      <c r="G21" s="13">
        <f>_xll.BDH("XOM US Equity","XO_GL_NET_OF_TAX","FQ3 1999","FQ3 1999","Currency=USD","Period=FQ","BEST_FPERIOD_OVERRIDE=FQ","FILING_STATUS=OR","SCALING_FORMAT=MLN","Sort=A","Dates=H","DateFormat=P","Fill=—","Direction=H","UseDPDF=Y")</f>
        <v>0</v>
      </c>
      <c r="H21" s="13">
        <f>_xll.BDH("XOM US Equity","XO_GL_NET_OF_TAX","FQ4 1999","FQ4 1999","Currency=USD","Period=FQ","BEST_FPERIOD_OVERRIDE=FQ","FILING_STATUS=OR","SCALING_FORMAT=MLN","Sort=A","Dates=H","DateFormat=P","Fill=—","Direction=H","UseDPDF=Y")</f>
        <v>0</v>
      </c>
      <c r="I21" s="13">
        <f>_xll.BDH("XOM US Equity","XO_GL_NET_OF_TAX","FQ1 2000","FQ1 2000","Currency=USD","Period=FQ","BEST_FPERIOD_OVERRIDE=FQ","FILING_STATUS=OR","SCALING_FORMAT=MLN","Sort=A","Dates=H","DateFormat=P","Fill=—","Direction=H","UseDPDF=Y")</f>
        <v>-455</v>
      </c>
      <c r="J21" s="13">
        <f>_xll.BDH("XOM US Equity","XO_GL_NET_OF_TAX","FQ2 2000","FQ2 2000","Currency=USD","Period=FQ","BEST_FPERIOD_OVERRIDE=FQ","FILING_STATUS=OR","SCALING_FORMAT=MLN","Sort=A","Dates=H","DateFormat=P","Fill=—","Direction=H","UseDPDF=Y")</f>
        <v>-530</v>
      </c>
      <c r="K21" s="13">
        <f>_xll.BDH("XOM US Equity","XO_GL_NET_OF_TAX","FQ3 2000","FQ3 2000","Currency=USD","Period=FQ","BEST_FPERIOD_OVERRIDE=FQ","FILING_STATUS=OR","SCALING_FORMAT=MLN","Sort=A","Dates=H","DateFormat=P","Fill=—","Direction=H","UseDPDF=Y")</f>
        <v>-430</v>
      </c>
      <c r="L21" s="13">
        <f>_xll.BDH("XOM US Equity","XO_GL_NET_OF_TAX","FQ4 2000","FQ4 2000","Currency=USD","Period=FQ","BEST_FPERIOD_OVERRIDE=FQ","FILING_STATUS=OR","SCALING_FORMAT=MLN","Sort=A","Dates=H","DateFormat=P","Fill=—","Direction=H","UseDPDF=Y")</f>
        <v>-315</v>
      </c>
      <c r="M21" s="13">
        <f>_xll.BDH("XOM US Equity","XO_GL_NET_OF_TAX","FQ1 2001","FQ1 2001","Currency=USD","Period=FQ","BEST_FPERIOD_OVERRIDE=FQ","FILING_STATUS=OR","SCALING_FORMAT=MLN","Sort=A","Dates=H","DateFormat=P","Fill=—","Direction=H","UseDPDF=Y")</f>
        <v>-40</v>
      </c>
      <c r="N21" s="13">
        <f>_xll.BDH("XOM US Equity","XO_GL_NET_OF_TAX","FQ2 2001","FQ2 2001","Currency=USD","Period=FQ","BEST_FPERIOD_OVERRIDE=FQ","FILING_STATUS=OR","SCALING_FORMAT=MLN","Sort=A","Dates=H","DateFormat=P","Fill=—","Direction=H","UseDPDF=Y")</f>
        <v>-175</v>
      </c>
      <c r="O21" s="13">
        <f>_xll.BDH("XOM US Equity","XO_GL_NET_OF_TAX","FQ3 2001","FQ3 2001","Currency=USD","Period=FQ","BEST_FPERIOD_OVERRIDE=FQ","FILING_STATUS=OR","SCALING_FORMAT=MLN","Sort=A","Dates=H","DateFormat=P","Fill=—","Direction=H","UseDPDF=Y")</f>
        <v>0</v>
      </c>
      <c r="P21" s="13">
        <f>_xll.BDH("XOM US Equity","XO_GL_NET_OF_TAX","FQ4 2001","FQ4 2001","Currency=USD","Period=FQ","BEST_FPERIOD_OVERRIDE=FQ","FILING_STATUS=OR","SCALING_FORMAT=MLN","Sort=A","Dates=H","DateFormat=P","Fill=—","Direction=H","UseDPDF=Y")</f>
        <v>0</v>
      </c>
      <c r="Q21" s="13">
        <f>_xll.BDH("XOM US Equity","XO_GL_NET_OF_TAX","FQ1 2002","FQ1 2002","Currency=USD","Period=FQ","BEST_FPERIOD_OVERRIDE=FQ","FILING_STATUS=OR","SCALING_FORMAT=MLN","Sort=A","Dates=H","DateFormat=P","Fill=—","Direction=H","UseDPDF=Y")</f>
        <v>0</v>
      </c>
      <c r="R21" s="13">
        <f>_xll.BDH("XOM US Equity","XO_GL_NET_OF_TAX","FQ2 2002","FQ2 2002","Currency=USD","Period=FQ","BEST_FPERIOD_OVERRIDE=FQ","FILING_STATUS=OR","SCALING_FORMAT=MLN","Sort=A","Dates=H","DateFormat=P","Fill=—","Direction=H","UseDPDF=Y")</f>
        <v>0</v>
      </c>
      <c r="S21" s="13">
        <f>_xll.BDH("XOM US Equity","XO_GL_NET_OF_TAX","FQ3 2002","FQ3 2002","Currency=USD","Period=FQ","BEST_FPERIOD_OVERRIDE=FQ","FILING_STATUS=OR","SCALING_FORMAT=MLN","Sort=A","Dates=H","DateFormat=P","Fill=—","Direction=H","UseDPDF=Y")</f>
        <v>0</v>
      </c>
      <c r="T21" s="13">
        <f>_xll.BDH("XOM US Equity","XO_GL_NET_OF_TAX","FQ4 2002","FQ4 2002","Currency=USD","Period=FQ","BEST_FPERIOD_OVERRIDE=FQ","FILING_STATUS=OR","SCALING_FORMAT=MLN","Sort=A","Dates=H","DateFormat=P","Fill=—","Direction=H","UseDPDF=Y")</f>
        <v>-400</v>
      </c>
      <c r="U21" s="13">
        <f>_xll.BDH("XOM US Equity","XO_GL_NET_OF_TAX","FQ1 2003","FQ1 2003","Currency=USD","Period=FQ","BEST_FPERIOD_OVERRIDE=FQ","FILING_STATUS=OR","SCALING_FORMAT=MLN","Sort=A","Dates=H","DateFormat=P","Fill=—","Direction=H","UseDPDF=Y")</f>
        <v>-550</v>
      </c>
      <c r="V21" s="13">
        <f>_xll.BDH("XOM US Equity","XO_GL_NET_OF_TAX","FQ2 2003","FQ2 2003","Currency=USD","Period=FQ","BEST_FPERIOD_OVERRIDE=FQ","FILING_STATUS=OR","SCALING_FORMAT=MLN","Sort=A","Dates=H","DateFormat=P","Fill=—","Direction=H","UseDPDF=Y")</f>
        <v>0</v>
      </c>
      <c r="W21" s="13">
        <f>_xll.BDH("XOM US Equity","XO_GL_NET_OF_TAX","FQ3 2003","FQ3 2003","Currency=USD","Period=FQ","BEST_FPERIOD_OVERRIDE=FQ","FILING_STATUS=OR","SCALING_FORMAT=MLN","Sort=A","Dates=H","DateFormat=P","Fill=—","Direction=H","UseDPDF=Y")</f>
        <v>0</v>
      </c>
      <c r="X21" s="13">
        <f>_xll.BDH("XOM US Equity","XO_GL_NET_OF_TAX","FQ4 2003","FQ4 2003","Currency=USD","Period=FQ","BEST_FPERIOD_OVERRIDE=FQ","FILING_STATUS=OR","SCALING_FORMAT=MLN","Sort=A","Dates=H","DateFormat=P","Fill=—","Direction=H","UseDPDF=Y")</f>
        <v>0</v>
      </c>
      <c r="Y21" s="13">
        <f>_xll.BDH("XOM US Equity","XO_GL_NET_OF_TAX","FQ1 2004","FQ1 2004","Currency=USD","Period=FQ","BEST_FPERIOD_OVERRIDE=FQ","FILING_STATUS=OR","SCALING_FORMAT=MLN","Sort=A","Dates=H","DateFormat=P","Fill=—","Direction=H","UseDPDF=Y")</f>
        <v>0</v>
      </c>
      <c r="Z21" s="13">
        <f>_xll.BDH("XOM US Equity","XO_GL_NET_OF_TAX","FQ2 2004","FQ2 2004","Currency=USD","Period=FQ","BEST_FPERIOD_OVERRIDE=FQ","FILING_STATUS=OR","SCALING_FORMAT=MLN","Sort=A","Dates=H","DateFormat=P","Fill=—","Direction=H","UseDPDF=Y")</f>
        <v>0</v>
      </c>
      <c r="AA21" s="13">
        <f>_xll.BDH("XOM US Equity","XO_GL_NET_OF_TAX","FQ3 2004","FQ3 2004","Currency=USD","Period=FQ","BEST_FPERIOD_OVERRIDE=FQ","FILING_STATUS=OR","SCALING_FORMAT=MLN","Sort=A","Dates=H","DateFormat=P","Fill=—","Direction=H","UseDPDF=Y")</f>
        <v>0</v>
      </c>
      <c r="AB21" s="13">
        <f>_xll.BDH("XOM US Equity","XO_GL_NET_OF_TAX","FQ4 2004","FQ4 2004","Currency=USD","Period=FQ","BEST_FPERIOD_OVERRIDE=FQ","FILING_STATUS=OR","SCALING_FORMAT=MLN","Sort=A","Dates=H","DateFormat=P","Fill=—","Direction=H","UseDPDF=Y")</f>
        <v>0</v>
      </c>
      <c r="AC21" s="13">
        <f>_xll.BDH("XOM US Equity","XO_GL_NET_OF_TAX","FQ1 2005","FQ1 2005","Currency=USD","Period=FQ","BEST_FPERIOD_OVERRIDE=FQ","FILING_STATUS=OR","SCALING_FORMAT=MLN","Sort=A","Dates=H","DateFormat=P","Fill=—","Direction=H","UseDPDF=Y")</f>
        <v>0</v>
      </c>
      <c r="AD21" s="13">
        <f>_xll.BDH("XOM US Equity","XO_GL_NET_OF_TAX","FQ2 2005","FQ2 2005","Currency=USD","Period=FQ","BEST_FPERIOD_OVERRIDE=FQ","FILING_STATUS=OR","SCALING_FORMAT=MLN","Sort=A","Dates=H","DateFormat=P","Fill=—","Direction=H","UseDPDF=Y")</f>
        <v>0</v>
      </c>
      <c r="AE21" s="13">
        <f>_xll.BDH("XOM US Equity","XO_GL_NET_OF_TAX","FQ3 2005","FQ3 2005","Currency=USD","Period=FQ","BEST_FPERIOD_OVERRIDE=FQ","FILING_STATUS=OR","SCALING_FORMAT=MLN","Sort=A","Dates=H","DateFormat=P","Fill=—","Direction=H","UseDPDF=Y")</f>
        <v>0</v>
      </c>
      <c r="AF21" s="13">
        <f>_xll.BDH("XOM US Equity","XO_GL_NET_OF_TAX","FQ4 2005","FQ4 2005","Currency=USD","Period=FQ","BEST_FPERIOD_OVERRIDE=FQ","FILING_STATUS=OR","SCALING_FORMAT=MLN","Sort=A","Dates=H","DateFormat=P","Fill=—","Direction=H","UseDPDF=Y")</f>
        <v>0</v>
      </c>
      <c r="AG21" s="13" t="str">
        <f>_xll.BDH("XOM US Equity","XO_GL_NET_OF_TAX","FQ1 2006","FQ1 2006","Currency=USD","Period=FQ","BEST_FPERIOD_OVERRIDE=FQ","FILING_STATUS=OR","SCALING_FORMAT=MLN","Sort=A","Dates=H","DateFormat=P","Fill=—","Direction=H","UseDPDF=Y")</f>
        <v>—</v>
      </c>
      <c r="AH21" s="13" t="str">
        <f>_xll.BDH("XOM US Equity","XO_GL_NET_OF_TAX","FQ2 2006","FQ2 2006","Currency=USD","Period=FQ","BEST_FPERIOD_OVERRIDE=FQ","FILING_STATUS=OR","SCALING_FORMAT=MLN","Sort=A","Dates=H","DateFormat=P","Fill=—","Direction=H","UseDPDF=Y")</f>
        <v>—</v>
      </c>
      <c r="AI21" s="13" t="str">
        <f>_xll.BDH("XOM US Equity","XO_GL_NET_OF_TAX","FQ3 2006","FQ3 2006","Currency=USD","Period=FQ","BEST_FPERIOD_OVERRIDE=FQ","FILING_STATUS=OR","SCALING_FORMAT=MLN","Sort=A","Dates=H","DateFormat=P","Fill=—","Direction=H","UseDPDF=Y")</f>
        <v>—</v>
      </c>
      <c r="AJ21" s="13">
        <f>_xll.BDH("XOM US Equity","XO_GL_NET_OF_TAX","FQ4 2006","FQ4 2006","Currency=USD","Period=FQ","BEST_FPERIOD_OVERRIDE=FQ","FILING_STATUS=OR","SCALING_FORMAT=MLN","Sort=A","Dates=H","DateFormat=P","Fill=—","Direction=H","UseDPDF=Y")</f>
        <v>0</v>
      </c>
      <c r="AK21" s="13">
        <f>_xll.BDH("XOM US Equity","XO_GL_NET_OF_TAX","FQ1 2007","FQ1 2007","Currency=USD","Period=FQ","BEST_FPERIOD_OVERRIDE=FQ","FILING_STATUS=OR","SCALING_FORMAT=MLN","Sort=A","Dates=H","DateFormat=P","Fill=—","Direction=H","UseDPDF=Y")</f>
        <v>0</v>
      </c>
      <c r="AL21" s="13">
        <f>_xll.BDH("XOM US Equity","XO_GL_NET_OF_TAX","FQ2 2007","FQ2 2007","Currency=USD","Period=FQ","BEST_FPERIOD_OVERRIDE=FQ","FILING_STATUS=OR","SCALING_FORMAT=MLN","Sort=A","Dates=H","DateFormat=P","Fill=—","Direction=H","UseDPDF=Y")</f>
        <v>0</v>
      </c>
      <c r="AM21" s="13">
        <f>_xll.BDH("XOM US Equity","XO_GL_NET_OF_TAX","FQ3 2007","FQ3 2007","Currency=USD","Period=FQ","BEST_FPERIOD_OVERRIDE=FQ","FILING_STATUS=OR","SCALING_FORMAT=MLN","Sort=A","Dates=H","DateFormat=P","Fill=—","Direction=H","UseDPDF=Y")</f>
        <v>0</v>
      </c>
      <c r="AN21" s="13">
        <f>_xll.BDH("XOM US Equity","XO_GL_NET_OF_TAX","FQ4 2007","FQ4 2007","Currency=USD","Period=FQ","BEST_FPERIOD_OVERRIDE=FQ","FILING_STATUS=OR","SCALING_FORMAT=MLN","Sort=A","Dates=H","DateFormat=P","Fill=—","Direction=H","UseDPDF=Y")</f>
        <v>0</v>
      </c>
      <c r="AO21" s="13">
        <f>_xll.BDH("XOM US Equity","XO_GL_NET_OF_TAX","FQ1 2008","FQ1 2008","Currency=USD","Period=FQ","BEST_FPERIOD_OVERRIDE=FQ","FILING_STATUS=OR","SCALING_FORMAT=MLN","Sort=A","Dates=H","DateFormat=P","Fill=—","Direction=H","UseDPDF=Y")</f>
        <v>0</v>
      </c>
      <c r="AP21" s="13">
        <f>_xll.BDH("XOM US Equity","XO_GL_NET_OF_TAX","FQ2 2008","FQ2 2008","Currency=USD","Period=FQ","BEST_FPERIOD_OVERRIDE=FQ","FILING_STATUS=OR","SCALING_FORMAT=MLN","Sort=A","Dates=H","DateFormat=P","Fill=—","Direction=H","UseDPDF=Y")</f>
        <v>0</v>
      </c>
    </row>
    <row r="22" spans="1:42" x14ac:dyDescent="0.25">
      <c r="A22" s="6" t="s">
        <v>117</v>
      </c>
      <c r="B22" s="6" t="s">
        <v>118</v>
      </c>
      <c r="C22" s="16">
        <f>_xll.BDH("XOM US Equity","NI_INCLUDING_MINORITY_INT_RATIO","FQ3 1998","FQ3 1998","Currency=USD","Period=FQ","BEST_FPERIOD_OVERRIDE=FQ","FILING_STATUS=OR","SCALING_FORMAT=MLN","FA_ADJUSTED=GAAP","Sort=A","Dates=H","DateFormat=P","Fill=—","Direction=H","UseDPDF=Y")</f>
        <v>1484</v>
      </c>
      <c r="D22" s="16" t="str">
        <f>_xll.BDH("XOM US Equity","NI_INCLUDING_MINORITY_INT_RATIO","FQ4 1998","FQ4 1998","Currency=USD","Period=FQ","BEST_FPERIOD_OVERRIDE=FQ","FILING_STATUS=OR","SCALING_FORMAT=MLN","FA_ADJUSTED=GAAP","Sort=A","Dates=H","DateFormat=P","Fill=—","Direction=H","UseDPDF=Y")</f>
        <v>—</v>
      </c>
      <c r="E22" s="16">
        <f>_xll.BDH("XOM US Equity","NI_INCLUDING_MINORITY_INT_RATIO","FQ1 1999","FQ1 1999","Currency=USD","Period=FQ","BEST_FPERIOD_OVERRIDE=FQ","FILING_STATUS=OR","SCALING_FORMAT=MLN","FA_ADJUSTED=GAAP","Sort=A","Dates=H","DateFormat=P","Fill=—","Direction=H","UseDPDF=Y")</f>
        <v>953</v>
      </c>
      <c r="F22" s="16">
        <f>_xll.BDH("XOM US Equity","NI_INCLUDING_MINORITY_INT_RATIO","FQ2 1999","FQ2 1999","Currency=USD","Period=FQ","BEST_FPERIOD_OVERRIDE=FQ","FILING_STATUS=OR","SCALING_FORMAT=MLN","FA_ADJUSTED=GAAP","Sort=A","Dates=H","DateFormat=P","Fill=—","Direction=H","UseDPDF=Y")</f>
        <v>1211</v>
      </c>
      <c r="G22" s="16">
        <f>_xll.BDH("XOM US Equity","NI_INCLUDING_MINORITY_INT_RATIO","FQ3 1999","FQ3 1999","Currency=USD","Period=FQ","BEST_FPERIOD_OVERRIDE=FQ","FILING_STATUS=OR","SCALING_FORMAT=MLN","FA_ADJUSTED=GAAP","Sort=A","Dates=H","DateFormat=P","Fill=—","Direction=H","UseDPDF=Y")</f>
        <v>1530</v>
      </c>
      <c r="H22" s="16">
        <f>_xll.BDH("XOM US Equity","NI_INCLUDING_MINORITY_INT_RATIO","FQ4 1999","FQ4 1999","Currency=USD","Period=FQ","BEST_FPERIOD_OVERRIDE=FQ","FILING_STATUS=OR","SCALING_FORMAT=MLN","FA_ADJUSTED=GAAP","Sort=A","Dates=H","DateFormat=P","Fill=—","Direction=H","UseDPDF=Y")</f>
        <v>2346</v>
      </c>
      <c r="I22" s="16">
        <f>_xll.BDH("XOM US Equity","NI_INCLUDING_MINORITY_INT_RATIO","FQ1 2000","FQ1 2000","Currency=USD","Period=FQ","BEST_FPERIOD_OVERRIDE=FQ","FILING_STATUS=OR","SCALING_FORMAT=MLN","FA_ADJUSTED=GAAP","Sort=A","Dates=H","DateFormat=P","Fill=—","Direction=H","UseDPDF=Y")</f>
        <v>3552</v>
      </c>
      <c r="J22" s="16">
        <f>_xll.BDH("XOM US Equity","NI_INCLUDING_MINORITY_INT_RATIO","FQ2 2000","FQ2 2000","Currency=USD","Period=FQ","BEST_FPERIOD_OVERRIDE=FQ","FILING_STATUS=OR","SCALING_FORMAT=MLN","FA_ADJUSTED=GAAP","Sort=A","Dates=H","DateFormat=P","Fill=—","Direction=H","UseDPDF=Y")</f>
        <v>4640</v>
      </c>
      <c r="K22" s="16">
        <f>_xll.BDH("XOM US Equity","NI_INCLUDING_MINORITY_INT_RATIO","FQ3 2000","FQ3 2000","Currency=USD","Period=FQ","BEST_FPERIOD_OVERRIDE=FQ","FILING_STATUS=OR","SCALING_FORMAT=MLN","FA_ADJUSTED=GAAP","Sort=A","Dates=H","DateFormat=P","Fill=—","Direction=H","UseDPDF=Y")</f>
        <v>4563</v>
      </c>
      <c r="L22" s="16">
        <f>_xll.BDH("XOM US Equity","NI_INCLUDING_MINORITY_INT_RATIO","FQ4 2000","FQ4 2000","Currency=USD","Period=FQ","BEST_FPERIOD_OVERRIDE=FQ","FILING_STATUS=OR","SCALING_FORMAT=MLN","FA_ADJUSTED=GAAP","Sort=A","Dates=H","DateFormat=P","Fill=—","Direction=H","UseDPDF=Y")</f>
        <v>5613</v>
      </c>
      <c r="M22" s="16">
        <f>_xll.BDH("XOM US Equity","NI_INCLUDING_MINORITY_INT_RATIO","FQ1 2001","FQ1 2001","Currency=USD","Period=FQ","BEST_FPERIOD_OVERRIDE=FQ","FILING_STATUS=OR","SCALING_FORMAT=MLN","FA_ADJUSTED=GAAP","Sort=A","Dates=H","DateFormat=P","Fill=—","Direction=H","UseDPDF=Y")</f>
        <v>5212</v>
      </c>
      <c r="N22" s="16">
        <f>_xll.BDH("XOM US Equity","NI_INCLUDING_MINORITY_INT_RATIO","FQ2 2001","FQ2 2001","Currency=USD","Period=FQ","BEST_FPERIOD_OVERRIDE=FQ","FILING_STATUS=OR","SCALING_FORMAT=MLN","FA_ADJUSTED=GAAP","Sort=A","Dates=H","DateFormat=P","Fill=—","Direction=H","UseDPDF=Y")</f>
        <v>4543</v>
      </c>
      <c r="O22" s="16">
        <f>_xll.BDH("XOM US Equity","NI_INCLUDING_MINORITY_INT_RATIO","FQ3 2001","FQ3 2001","Currency=USD","Period=FQ","BEST_FPERIOD_OVERRIDE=FQ","FILING_STATUS=OR","SCALING_FORMAT=MLN","FA_ADJUSTED=GAAP","Sort=A","Dates=H","DateFormat=P","Fill=—","Direction=H","UseDPDF=Y")</f>
        <v>3305</v>
      </c>
      <c r="P22" s="16">
        <f>_xll.BDH("XOM US Equity","NI_INCLUDING_MINORITY_INT_RATIO","FQ4 2001","FQ4 2001","Currency=USD","Period=FQ","BEST_FPERIOD_OVERRIDE=FQ","FILING_STATUS=OR","SCALING_FORMAT=MLN","FA_ADJUSTED=GAAP","Sort=A","Dates=H","DateFormat=P","Fill=—","Direction=H","UseDPDF=Y")</f>
        <v>2829</v>
      </c>
      <c r="Q22" s="16">
        <f>_xll.BDH("XOM US Equity","NI_INCLUDING_MINORITY_INT_RATIO","FQ1 2002","FQ1 2002","Currency=USD","Period=FQ","BEST_FPERIOD_OVERRIDE=FQ","FILING_STATUS=OR","SCALING_FORMAT=MLN","FA_ADJUSTED=GAAP","Sort=A","Dates=H","DateFormat=P","Fill=—","Direction=H","UseDPDF=Y")</f>
        <v>2105</v>
      </c>
      <c r="R22" s="16">
        <f>_xll.BDH("XOM US Equity","NI_INCLUDING_MINORITY_INT_RATIO","FQ2 2002","FQ2 2002","Currency=USD","Period=FQ","BEST_FPERIOD_OVERRIDE=FQ","FILING_STATUS=OR","SCALING_FORMAT=MLN","FA_ADJUSTED=GAAP","Sort=A","Dates=H","DateFormat=P","Fill=—","Direction=H","UseDPDF=Y")</f>
        <v>2657</v>
      </c>
      <c r="S22" s="16">
        <f>_xll.BDH("XOM US Equity","NI_INCLUDING_MINORITY_INT_RATIO","FQ3 2002","FQ3 2002","Currency=USD","Period=FQ","BEST_FPERIOD_OVERRIDE=FQ","FILING_STATUS=OR","SCALING_FORMAT=MLN","FA_ADJUSTED=GAAP","Sort=A","Dates=H","DateFormat=P","Fill=—","Direction=H","UseDPDF=Y")</f>
        <v>2716</v>
      </c>
      <c r="T22" s="16">
        <f>_xll.BDH("XOM US Equity","NI_INCLUDING_MINORITY_INT_RATIO","FQ4 2002","FQ4 2002","Currency=USD","Period=FQ","BEST_FPERIOD_OVERRIDE=FQ","FILING_STATUS=OR","SCALING_FORMAT=MLN","FA_ADJUSTED=GAAP","Sort=A","Dates=H","DateFormat=P","Fill=—","Direction=H","UseDPDF=Y")</f>
        <v>4191</v>
      </c>
      <c r="U22" s="16">
        <f>_xll.BDH("XOM US Equity","NI_INCLUDING_MINORITY_INT_RATIO","FQ1 2003","FQ1 2003","Currency=USD","Period=FQ","BEST_FPERIOD_OVERRIDE=FQ","FILING_STATUS=OR","SCALING_FORMAT=MLN","FA_ADJUSTED=GAAP","Sort=A","Dates=H","DateFormat=P","Fill=—","Direction=H","UseDPDF=Y")</f>
        <v>7413</v>
      </c>
      <c r="V22" s="16">
        <f>_xll.BDH("XOM US Equity","NI_INCLUDING_MINORITY_INT_RATIO","FQ2 2003","FQ2 2003","Currency=USD","Period=FQ","BEST_FPERIOD_OVERRIDE=FQ","FILING_STATUS=OR","SCALING_FORMAT=MLN","FA_ADJUSTED=GAAP","Sort=A","Dates=H","DateFormat=P","Fill=—","Direction=H","UseDPDF=Y")</f>
        <v>4270</v>
      </c>
      <c r="W22" s="16">
        <f>_xll.BDH("XOM US Equity","NI_INCLUDING_MINORITY_INT_RATIO","FQ3 2003","FQ3 2003","Currency=USD","Period=FQ","BEST_FPERIOD_OVERRIDE=FQ","FILING_STATUS=OR","SCALING_FORMAT=MLN","FA_ADJUSTED=GAAP","Sort=A","Dates=H","DateFormat=P","Fill=—","Direction=H","UseDPDF=Y")</f>
        <v>3751</v>
      </c>
      <c r="X22" s="16">
        <f>_xll.BDH("XOM US Equity","NI_INCLUDING_MINORITY_INT_RATIO","FQ4 2003","FQ4 2003","Currency=USD","Period=FQ","BEST_FPERIOD_OVERRIDE=FQ","FILING_STATUS=OR","SCALING_FORMAT=MLN","FA_ADJUSTED=GAAP","Sort=A","Dates=H","DateFormat=P","Fill=—","Direction=H","UseDPDF=Y")</f>
        <v>6770</v>
      </c>
      <c r="Y22" s="16">
        <f>_xll.BDH("XOM US Equity","NI_INCLUDING_MINORITY_INT_RATIO","FQ1 2004","FQ1 2004","Currency=USD","Period=FQ","BEST_FPERIOD_OVERRIDE=FQ","FILING_STATUS=OR","SCALING_FORMAT=MLN","FA_ADJUSTED=GAAP","Sort=A","Dates=H","DateFormat=P","Fill=—","Direction=H","UseDPDF=Y")</f>
        <v>5594</v>
      </c>
      <c r="Z22" s="16">
        <f>_xll.BDH("XOM US Equity","NI_INCLUDING_MINORITY_INT_RATIO","FQ2 2004","FQ2 2004","Currency=USD","Period=FQ","BEST_FPERIOD_OVERRIDE=FQ","FILING_STATUS=OR","SCALING_FORMAT=MLN","FA_ADJUSTED=GAAP","Sort=A","Dates=H","DateFormat=P","Fill=—","Direction=H","UseDPDF=Y")</f>
        <v>5932</v>
      </c>
      <c r="AA22" s="16">
        <f>_xll.BDH("XOM US Equity","NI_INCLUDING_MINORITY_INT_RATIO","FQ3 2004","FQ3 2004","Currency=USD","Period=FQ","BEST_FPERIOD_OVERRIDE=FQ","FILING_STATUS=OR","SCALING_FORMAT=MLN","FA_ADJUSTED=GAAP","Sort=A","Dates=H","DateFormat=P","Fill=—","Direction=H","UseDPDF=Y")</f>
        <v>5879</v>
      </c>
      <c r="AB22" s="16">
        <f>_xll.BDH("XOM US Equity","NI_INCLUDING_MINORITY_INT_RATIO","FQ4 2004","FQ4 2004","Currency=USD","Period=FQ","BEST_FPERIOD_OVERRIDE=FQ","FILING_STATUS=OR","SCALING_FORMAT=MLN","FA_ADJUSTED=GAAP","Sort=A","Dates=H","DateFormat=P","Fill=—","Direction=H","UseDPDF=Y")</f>
        <v>8701</v>
      </c>
      <c r="AC22" s="16">
        <f>_xll.BDH("XOM US Equity","NI_INCLUDING_MINORITY_INT_RATIO","FQ1 2005","FQ1 2005","Currency=USD","Period=FQ","BEST_FPERIOD_OVERRIDE=FQ","FILING_STATUS=OR","SCALING_FORMAT=MLN","FA_ADJUSTED=GAAP","Sort=A","Dates=H","DateFormat=P","Fill=—","Direction=H","UseDPDF=Y")</f>
        <v>7955</v>
      </c>
      <c r="AD22" s="16">
        <f>_xll.BDH("XOM US Equity","NI_INCLUDING_MINORITY_INT_RATIO","FQ2 2005","FQ2 2005","Currency=USD","Period=FQ","BEST_FPERIOD_OVERRIDE=FQ","FILING_STATUS=OR","SCALING_FORMAT=MLN","FA_ADJUSTED=GAAP","Sort=A","Dates=H","DateFormat=P","Fill=—","Direction=H","UseDPDF=Y")</f>
        <v>7839</v>
      </c>
      <c r="AE22" s="16">
        <f>_xll.BDH("XOM US Equity","NI_INCLUDING_MINORITY_INT_RATIO","FQ3 2005","FQ3 2005","Currency=USD","Period=FQ","BEST_FPERIOD_OVERRIDE=FQ","FILING_STATUS=OR","SCALING_FORMAT=MLN","FA_ADJUSTED=GAAP","Sort=A","Dates=H","DateFormat=P","Fill=—","Direction=H","UseDPDF=Y")</f>
        <v>10094</v>
      </c>
      <c r="AF22" s="16">
        <f>_xll.BDH("XOM US Equity","NI_INCLUDING_MINORITY_INT_RATIO","FQ4 2005","FQ4 2005","Currency=USD","Period=FQ","BEST_FPERIOD_OVERRIDE=FQ","FILING_STATUS=OR","SCALING_FORMAT=MLN","FA_ADJUSTED=GAAP","Sort=A","Dates=H","DateFormat=P","Fill=—","Direction=H","UseDPDF=Y")</f>
        <v>11041</v>
      </c>
      <c r="AG22" s="16">
        <f>_xll.BDH("XOM US Equity","NI_INCLUDING_MINORITY_INT_RATIO","FQ1 2006","FQ1 2006","Currency=USD","Period=FQ","BEST_FPERIOD_OVERRIDE=FQ","FILING_STATUS=OR","SCALING_FORMAT=MLN","FA_ADJUSTED=GAAP","Sort=A","Dates=H","DateFormat=P","Fill=—","Direction=H","UseDPDF=Y")</f>
        <v>8582</v>
      </c>
      <c r="AH22" s="16">
        <f>_xll.BDH("XOM US Equity","NI_INCLUDING_MINORITY_INT_RATIO","FQ2 2006","FQ2 2006","Currency=USD","Period=FQ","BEST_FPERIOD_OVERRIDE=FQ","FILING_STATUS=OR","SCALING_FORMAT=MLN","FA_ADJUSTED=GAAP","Sort=A","Dates=H","DateFormat=P","Fill=—","Direction=H","UseDPDF=Y")</f>
        <v>10613</v>
      </c>
      <c r="AI22" s="16">
        <f>_xll.BDH("XOM US Equity","NI_INCLUDING_MINORITY_INT_RATIO","FQ3 2006","FQ3 2006","Currency=USD","Period=FQ","BEST_FPERIOD_OVERRIDE=FQ","FILING_STATUS=OR","SCALING_FORMAT=MLN","FA_ADJUSTED=GAAP","Sort=A","Dates=H","DateFormat=P","Fill=—","Direction=H","UseDPDF=Y")</f>
        <v>10782</v>
      </c>
      <c r="AJ22" s="16">
        <f>_xll.BDH("XOM US Equity","NI_INCLUDING_MINORITY_INT_RATIO","FQ4 2006","FQ4 2006","Currency=USD","Period=FQ","BEST_FPERIOD_OVERRIDE=FQ","FILING_STATUS=OR","SCALING_FORMAT=MLN","FA_ADJUSTED=GAAP","Sort=A","Dates=H","DateFormat=P","Fill=—","Direction=H","UseDPDF=Y")</f>
        <v>10574</v>
      </c>
      <c r="AK22" s="16">
        <f>_xll.BDH("XOM US Equity","NI_INCLUDING_MINORITY_INT_RATIO","FQ1 2007","FQ1 2007","Currency=USD","Period=FQ","BEST_FPERIOD_OVERRIDE=FQ","FILING_STATUS=OR","SCALING_FORMAT=MLN","FA_ADJUSTED=GAAP","Sort=A","Dates=H","DateFormat=P","Fill=—","Direction=H","UseDPDF=Y")</f>
        <v>9530</v>
      </c>
      <c r="AL22" s="16">
        <f>_xll.BDH("XOM US Equity","NI_INCLUDING_MINORITY_INT_RATIO","FQ2 2007","FQ2 2007","Currency=USD","Period=FQ","BEST_FPERIOD_OVERRIDE=FQ","FILING_STATUS=OR","SCALING_FORMAT=MLN","FA_ADJUSTED=GAAP","Sort=A","Dates=H","DateFormat=P","Fill=—","Direction=H","UseDPDF=Y")</f>
        <v>10448</v>
      </c>
      <c r="AM22" s="16">
        <f>_xll.BDH("XOM US Equity","NI_INCLUDING_MINORITY_INT_RATIO","FQ3 2007","FQ3 2007","Currency=USD","Period=FQ","BEST_FPERIOD_OVERRIDE=FQ","FILING_STATUS=OR","SCALING_FORMAT=MLN","FA_ADJUSTED=GAAP","Sort=A","Dates=H","DateFormat=P","Fill=—","Direction=H","UseDPDF=Y")</f>
        <v>9694</v>
      </c>
      <c r="AN22" s="16">
        <f>_xll.BDH("XOM US Equity","NI_INCLUDING_MINORITY_INT_RATIO","FQ4 2007","FQ4 2007","Currency=USD","Period=FQ","BEST_FPERIOD_OVERRIDE=FQ","FILING_STATUS=OR","SCALING_FORMAT=MLN","FA_ADJUSTED=GAAP","Sort=A","Dates=H","DateFormat=P","Fill=—","Direction=H","UseDPDF=Y")</f>
        <v>11943</v>
      </c>
      <c r="AO22" s="16">
        <f>_xll.BDH("XOM US Equity","NI_INCLUDING_MINORITY_INT_RATIO","FQ1 2008","FQ1 2008","Currency=USD","Period=FQ","BEST_FPERIOD_OVERRIDE=FQ","FILING_STATUS=OR","SCALING_FORMAT=MLN","FA_ADJUSTED=GAAP","Sort=A","Dates=H","DateFormat=P","Fill=—","Direction=H","UseDPDF=Y")</f>
        <v>11172</v>
      </c>
      <c r="AP22" s="16">
        <f>_xll.BDH("XOM US Equity","NI_INCLUDING_MINORITY_INT_RATIO","FQ2 2008","FQ2 2008","Currency=USD","Period=FQ","BEST_FPERIOD_OVERRIDE=FQ","FILING_STATUS=OR","SCALING_FORMAT=MLN","FA_ADJUSTED=GAAP","Sort=A","Dates=H","DateFormat=P","Fill=—","Direction=H","UseDPDF=Y")</f>
        <v>11905</v>
      </c>
    </row>
    <row r="23" spans="1:42" x14ac:dyDescent="0.25">
      <c r="A23" s="10" t="s">
        <v>119</v>
      </c>
      <c r="B23" s="10" t="s">
        <v>120</v>
      </c>
      <c r="C23" s="13">
        <f>_xll.BDH("XOM US Equity","MIN_NONCONTROL_INTEREST_CREDITS","FQ3 1998","FQ3 1998","Currency=USD","Period=FQ","BEST_FPERIOD_OVERRIDE=FQ","FILING_STATUS=OR","SCALING_FORMAT=MLN","FA_ADJUSTED=GAAP","Sort=A","Dates=H","DateFormat=P","Fill=—","Direction=H","UseDPDF=Y")</f>
        <v>84</v>
      </c>
      <c r="D23" s="13" t="str">
        <f>_xll.BDH("XOM US Equity","MIN_NONCONTROL_INTEREST_CREDITS","FQ4 1998","FQ4 1998","Currency=USD","Period=FQ","BEST_FPERIOD_OVERRIDE=FQ","FILING_STATUS=OR","SCALING_FORMAT=MLN","FA_ADJUSTED=GAAP","Sort=A","Dates=H","DateFormat=P","Fill=—","Direction=H","UseDPDF=Y")</f>
        <v>—</v>
      </c>
      <c r="E23" s="13">
        <f>_xll.BDH("XOM US Equity","MIN_NONCONTROL_INTEREST_CREDITS","FQ1 1999","FQ1 1999","Currency=USD","Period=FQ","BEST_FPERIOD_OVERRIDE=FQ","FILING_STATUS=OR","SCALING_FORMAT=MLN","FA_ADJUSTED=GAAP","Sort=A","Dates=H","DateFormat=P","Fill=—","Direction=H","UseDPDF=Y")</f>
        <v>-67</v>
      </c>
      <c r="F23" s="13">
        <f>_xll.BDH("XOM US Equity","MIN_NONCONTROL_INTEREST_CREDITS","FQ2 1999","FQ2 1999","Currency=USD","Period=FQ","BEST_FPERIOD_OVERRIDE=FQ","FILING_STATUS=OR","SCALING_FORMAT=MLN","FA_ADJUSTED=GAAP","Sort=A","Dates=H","DateFormat=P","Fill=—","Direction=H","UseDPDF=Y")</f>
        <v>6</v>
      </c>
      <c r="G23" s="13">
        <f>_xll.BDH("XOM US Equity","MIN_NONCONTROL_INTEREST_CREDITS","FQ3 1999","FQ3 1999","Currency=USD","Period=FQ","BEST_FPERIOD_OVERRIDE=FQ","FILING_STATUS=OR","SCALING_FORMAT=MLN","FA_ADJUSTED=GAAP","Sort=A","Dates=H","DateFormat=P","Fill=—","Direction=H","UseDPDF=Y")</f>
        <v>30</v>
      </c>
      <c r="H23" s="13">
        <f>_xll.BDH("XOM US Equity","MIN_NONCONTROL_INTEREST_CREDITS","FQ4 1999","FQ4 1999","Currency=USD","Period=FQ","BEST_FPERIOD_OVERRIDE=FQ","FILING_STATUS=OR","SCALING_FORMAT=MLN","FA_ADJUSTED=GAAP","Sort=A","Dates=H","DateFormat=P","Fill=—","Direction=H","UseDPDF=Y")</f>
        <v>176</v>
      </c>
      <c r="I23" s="13">
        <f>_xll.BDH("XOM US Equity","MIN_NONCONTROL_INTEREST_CREDITS","FQ1 2000","FQ1 2000","Currency=USD","Period=FQ","BEST_FPERIOD_OVERRIDE=FQ","FILING_STATUS=OR","SCALING_FORMAT=MLN","FA_ADJUSTED=GAAP","Sort=A","Dates=H","DateFormat=P","Fill=—","Direction=H","UseDPDF=Y")</f>
        <v>72</v>
      </c>
      <c r="J23" s="13">
        <f>_xll.BDH("XOM US Equity","MIN_NONCONTROL_INTEREST_CREDITS","FQ2 2000","FQ2 2000","Currency=USD","Period=FQ","BEST_FPERIOD_OVERRIDE=FQ","FILING_STATUS=OR","SCALING_FORMAT=MLN","FA_ADJUSTED=GAAP","Sort=A","Dates=H","DateFormat=P","Fill=—","Direction=H","UseDPDF=Y")</f>
        <v>110</v>
      </c>
      <c r="K23" s="13">
        <f>_xll.BDH("XOM US Equity","MIN_NONCONTROL_INTEREST_CREDITS","FQ3 2000","FQ3 2000","Currency=USD","Period=FQ","BEST_FPERIOD_OVERRIDE=FQ","FILING_STATUS=OR","SCALING_FORMAT=MLN","FA_ADJUSTED=GAAP","Sort=A","Dates=H","DateFormat=P","Fill=—","Direction=H","UseDPDF=Y")</f>
        <v>73</v>
      </c>
      <c r="L23" s="13">
        <f>_xll.BDH("XOM US Equity","MIN_NONCONTROL_INTEREST_CREDITS","FQ4 2000","FQ4 2000","Currency=USD","Period=FQ","BEST_FPERIOD_OVERRIDE=FQ","FILING_STATUS=OR","SCALING_FORMAT=MLN","FA_ADJUSTED=GAAP","Sort=A","Dates=H","DateFormat=P","Fill=—","Direction=H","UseDPDF=Y")</f>
        <v>157</v>
      </c>
      <c r="M23" s="13">
        <f>_xll.BDH("XOM US Equity","MIN_NONCONTROL_INTEREST_CREDITS","FQ1 2001","FQ1 2001","Currency=USD","Period=FQ","BEST_FPERIOD_OVERRIDE=FQ","FILING_STATUS=OR","SCALING_FORMAT=MLN","FA_ADJUSTED=GAAP","Sort=A","Dates=H","DateFormat=P","Fill=—","Direction=H","UseDPDF=Y")</f>
        <v>212</v>
      </c>
      <c r="N23" s="13">
        <f>_xll.BDH("XOM US Equity","MIN_NONCONTROL_INTEREST_CREDITS","FQ2 2001","FQ2 2001","Currency=USD","Period=FQ","BEST_FPERIOD_OVERRIDE=FQ","FILING_STATUS=OR","SCALING_FORMAT=MLN","FA_ADJUSTED=GAAP","Sort=A","Dates=H","DateFormat=P","Fill=—","Direction=H","UseDPDF=Y")</f>
        <v>83</v>
      </c>
      <c r="O23" s="13">
        <f>_xll.BDH("XOM US Equity","MIN_NONCONTROL_INTEREST_CREDITS","FQ3 2001","FQ3 2001","Currency=USD","Period=FQ","BEST_FPERIOD_OVERRIDE=FQ","FILING_STATUS=OR","SCALING_FORMAT=MLN","FA_ADJUSTED=GAAP","Sort=A","Dates=H","DateFormat=P","Fill=—","Direction=H","UseDPDF=Y")</f>
        <v>125</v>
      </c>
      <c r="P23" s="13">
        <f>_xll.BDH("XOM US Equity","MIN_NONCONTROL_INTEREST_CREDITS","FQ4 2001","FQ4 2001","Currency=USD","Period=FQ","BEST_FPERIOD_OVERRIDE=FQ","FILING_STATUS=OR","SCALING_FORMAT=MLN","FA_ADJUSTED=GAAP","Sort=A","Dates=H","DateFormat=P","Fill=—","Direction=H","UseDPDF=Y")</f>
        <v>149</v>
      </c>
      <c r="Q23" s="13">
        <f>_xll.BDH("XOM US Equity","MIN_NONCONTROL_INTEREST_CREDITS","FQ1 2002","FQ1 2002","Currency=USD","Period=FQ","BEST_FPERIOD_OVERRIDE=FQ","FILING_STATUS=OR","SCALING_FORMAT=MLN","FA_ADJUSTED=GAAP","Sort=A","Dates=H","DateFormat=P","Fill=—","Direction=H","UseDPDF=Y")</f>
        <v>15</v>
      </c>
      <c r="R23" s="13">
        <f>_xll.BDH("XOM US Equity","MIN_NONCONTROL_INTEREST_CREDITS","FQ2 2002","FQ2 2002","Currency=USD","Period=FQ","BEST_FPERIOD_OVERRIDE=FQ","FILING_STATUS=OR","SCALING_FORMAT=MLN","FA_ADJUSTED=GAAP","Sort=A","Dates=H","DateFormat=P","Fill=—","Direction=H","UseDPDF=Y")</f>
        <v>17</v>
      </c>
      <c r="S23" s="13">
        <f>_xll.BDH("XOM US Equity","MIN_NONCONTROL_INTEREST_CREDITS","FQ3 2002","FQ3 2002","Currency=USD","Period=FQ","BEST_FPERIOD_OVERRIDE=FQ","FILING_STATUS=OR","SCALING_FORMAT=MLN","FA_ADJUSTED=GAAP","Sort=A","Dates=H","DateFormat=P","Fill=—","Direction=H","UseDPDF=Y")</f>
        <v>76</v>
      </c>
      <c r="T23" s="13">
        <f>_xll.BDH("XOM US Equity","MIN_NONCONTROL_INTEREST_CREDITS","FQ4 2002","FQ4 2002","Currency=USD","Period=FQ","BEST_FPERIOD_OVERRIDE=FQ","FILING_STATUS=OR","SCALING_FORMAT=MLN","FA_ADJUSTED=GAAP","Sort=A","Dates=H","DateFormat=P","Fill=—","Direction=H","UseDPDF=Y")</f>
        <v>101</v>
      </c>
      <c r="U23" s="13">
        <f>_xll.BDH("XOM US Equity","MIN_NONCONTROL_INTEREST_CREDITS","FQ1 2003","FQ1 2003","Currency=USD","Period=FQ","BEST_FPERIOD_OVERRIDE=FQ","FILING_STATUS=OR","SCALING_FORMAT=MLN","FA_ADJUSTED=GAAP","Sort=A","Dates=H","DateFormat=P","Fill=—","Direction=H","UseDPDF=Y")</f>
        <v>373</v>
      </c>
      <c r="V23" s="13">
        <f>_xll.BDH("XOM US Equity","MIN_NONCONTROL_INTEREST_CREDITS","FQ2 2003","FQ2 2003","Currency=USD","Period=FQ","BEST_FPERIOD_OVERRIDE=FQ","FILING_STATUS=OR","SCALING_FORMAT=MLN","FA_ADJUSTED=GAAP","Sort=A","Dates=H","DateFormat=P","Fill=—","Direction=H","UseDPDF=Y")</f>
        <v>100</v>
      </c>
      <c r="W23" s="13">
        <f>_xll.BDH("XOM US Equity","MIN_NONCONTROL_INTEREST_CREDITS","FQ3 2003","FQ3 2003","Currency=USD","Period=FQ","BEST_FPERIOD_OVERRIDE=FQ","FILING_STATUS=OR","SCALING_FORMAT=MLN","FA_ADJUSTED=GAAP","Sort=A","Dates=H","DateFormat=P","Fill=—","Direction=H","UseDPDF=Y")</f>
        <v>101</v>
      </c>
      <c r="X23" s="13">
        <f>_xll.BDH("XOM US Equity","MIN_NONCONTROL_INTEREST_CREDITS","FQ4 2003","FQ4 2003","Currency=USD","Period=FQ","BEST_FPERIOD_OVERRIDE=FQ","FILING_STATUS=OR","SCALING_FORMAT=MLN","FA_ADJUSTED=GAAP","Sort=A","Dates=H","DateFormat=P","Fill=—","Direction=H","UseDPDF=Y")</f>
        <v>120</v>
      </c>
      <c r="Y23" s="13">
        <f>_xll.BDH("XOM US Equity","MIN_NONCONTROL_INTEREST_CREDITS","FQ1 2004","FQ1 2004","Currency=USD","Period=FQ","BEST_FPERIOD_OVERRIDE=FQ","FILING_STATUS=OR","SCALING_FORMAT=MLN","FA_ADJUSTED=GAAP","Sort=A","Dates=H","DateFormat=P","Fill=—","Direction=H","UseDPDF=Y")</f>
        <v>154</v>
      </c>
      <c r="Z23" s="13">
        <f>_xll.BDH("XOM US Equity","MIN_NONCONTROL_INTEREST_CREDITS","FQ2 2004","FQ2 2004","Currency=USD","Period=FQ","BEST_FPERIOD_OVERRIDE=FQ","FILING_STATUS=OR","SCALING_FORMAT=MLN","FA_ADJUSTED=GAAP","Sort=A","Dates=H","DateFormat=P","Fill=—","Direction=H","UseDPDF=Y")</f>
        <v>142</v>
      </c>
      <c r="AA23" s="13">
        <f>_xll.BDH("XOM US Equity","MIN_NONCONTROL_INTEREST_CREDITS","FQ3 2004","FQ3 2004","Currency=USD","Period=FQ","BEST_FPERIOD_OVERRIDE=FQ","FILING_STATUS=OR","SCALING_FORMAT=MLN","FA_ADJUSTED=GAAP","Sort=A","Dates=H","DateFormat=P","Fill=—","Direction=H","UseDPDF=Y")</f>
        <v>199</v>
      </c>
      <c r="AB23" s="13">
        <f>_xll.BDH("XOM US Equity","MIN_NONCONTROL_INTEREST_CREDITS","FQ4 2004","FQ4 2004","Currency=USD","Period=FQ","BEST_FPERIOD_OVERRIDE=FQ","FILING_STATUS=OR","SCALING_FORMAT=MLN","FA_ADJUSTED=GAAP","Sort=A","Dates=H","DateFormat=P","Fill=—","Direction=H","UseDPDF=Y")</f>
        <v>281</v>
      </c>
      <c r="AC23" s="13">
        <f>_xll.BDH("XOM US Equity","MIN_NONCONTROL_INTEREST_CREDITS","FQ1 2005","FQ1 2005","Currency=USD","Period=FQ","BEST_FPERIOD_OVERRIDE=FQ","FILING_STATUS=OR","SCALING_FORMAT=MLN","FA_ADJUSTED=GAAP","Sort=A","Dates=H","DateFormat=P","Fill=—","Direction=H","UseDPDF=Y")</f>
        <v>95</v>
      </c>
      <c r="AD23" s="13">
        <f>_xll.BDH("XOM US Equity","MIN_NONCONTROL_INTEREST_CREDITS","FQ2 2005","FQ2 2005","Currency=USD","Period=FQ","BEST_FPERIOD_OVERRIDE=FQ","FILING_STATUS=OR","SCALING_FORMAT=MLN","FA_ADJUSTED=GAAP","Sort=A","Dates=H","DateFormat=P","Fill=—","Direction=H","UseDPDF=Y")</f>
        <v>199</v>
      </c>
      <c r="AE23" s="13">
        <f>_xll.BDH("XOM US Equity","MIN_NONCONTROL_INTEREST_CREDITS","FQ3 2005","FQ3 2005","Currency=USD","Period=FQ","BEST_FPERIOD_OVERRIDE=FQ","FILING_STATUS=OR","SCALING_FORMAT=MLN","FA_ADJUSTED=GAAP","Sort=A","Dates=H","DateFormat=P","Fill=—","Direction=H","UseDPDF=Y")</f>
        <v>174</v>
      </c>
      <c r="AF23" s="13">
        <f>_xll.BDH("XOM US Equity","MIN_NONCONTROL_INTEREST_CREDITS","FQ4 2005","FQ4 2005","Currency=USD","Period=FQ","BEST_FPERIOD_OVERRIDE=FQ","FILING_STATUS=OR","SCALING_FORMAT=MLN","FA_ADJUSTED=GAAP","Sort=A","Dates=H","DateFormat=P","Fill=—","Direction=H","UseDPDF=Y")</f>
        <v>331</v>
      </c>
      <c r="AG23" s="13">
        <f>_xll.BDH("XOM US Equity","MIN_NONCONTROL_INTEREST_CREDITS","FQ1 2006","FQ1 2006","Currency=USD","Period=FQ","BEST_FPERIOD_OVERRIDE=FQ","FILING_STATUS=OR","SCALING_FORMAT=MLN","FA_ADJUSTED=GAAP","Sort=A","Dates=H","DateFormat=P","Fill=—","Direction=H","UseDPDF=Y")</f>
        <v>182</v>
      </c>
      <c r="AH23" s="13">
        <f>_xll.BDH("XOM US Equity","MIN_NONCONTROL_INTEREST_CREDITS","FQ2 2006","FQ2 2006","Currency=USD","Period=FQ","BEST_FPERIOD_OVERRIDE=FQ","FILING_STATUS=OR","SCALING_FORMAT=MLN","FA_ADJUSTED=GAAP","Sort=A","Dates=H","DateFormat=P","Fill=—","Direction=H","UseDPDF=Y")</f>
        <v>253</v>
      </c>
      <c r="AI23" s="13">
        <f>_xll.BDH("XOM US Equity","MIN_NONCONTROL_INTEREST_CREDITS","FQ3 2006","FQ3 2006","Currency=USD","Period=FQ","BEST_FPERIOD_OVERRIDE=FQ","FILING_STATUS=OR","SCALING_FORMAT=MLN","FA_ADJUSTED=GAAP","Sort=A","Dates=H","DateFormat=P","Fill=—","Direction=H","UseDPDF=Y")</f>
        <v>292</v>
      </c>
      <c r="AJ23" s="13">
        <f>_xll.BDH("XOM US Equity","MIN_NONCONTROL_INTEREST_CREDITS","FQ4 2006","FQ4 2006","Currency=USD","Period=FQ","BEST_FPERIOD_OVERRIDE=FQ","FILING_STATUS=OR","SCALING_FORMAT=MLN","FA_ADJUSTED=GAAP","Sort=A","Dates=H","DateFormat=P","Fill=—","Direction=H","UseDPDF=Y")</f>
        <v>324</v>
      </c>
      <c r="AK23" s="13">
        <f>_xll.BDH("XOM US Equity","MIN_NONCONTROL_INTEREST_CREDITS","FQ1 2007","FQ1 2007","Currency=USD","Period=FQ","BEST_FPERIOD_OVERRIDE=FQ","FILING_STATUS=OR","SCALING_FORMAT=MLN","FA_ADJUSTED=GAAP","Sort=A","Dates=H","DateFormat=P","Fill=—","Direction=H","UseDPDF=Y")</f>
        <v>250</v>
      </c>
      <c r="AL23" s="13">
        <f>_xll.BDH("XOM US Equity","MIN_NONCONTROL_INTEREST_CREDITS","FQ2 2007","FQ2 2007","Currency=USD","Period=FQ","BEST_FPERIOD_OVERRIDE=FQ","FILING_STATUS=OR","SCALING_FORMAT=MLN","FA_ADJUSTED=GAAP","Sort=A","Dates=H","DateFormat=P","Fill=—","Direction=H","UseDPDF=Y")</f>
        <v>188</v>
      </c>
      <c r="AM23" s="13">
        <f>_xll.BDH("XOM US Equity","MIN_NONCONTROL_INTEREST_CREDITS","FQ3 2007","FQ3 2007","Currency=USD","Period=FQ","BEST_FPERIOD_OVERRIDE=FQ","FILING_STATUS=OR","SCALING_FORMAT=MLN","FA_ADJUSTED=GAAP","Sort=A","Dates=H","DateFormat=P","Fill=—","Direction=H","UseDPDF=Y")</f>
        <v>284</v>
      </c>
      <c r="AN23" s="13">
        <f>_xll.BDH("XOM US Equity","MIN_NONCONTROL_INTEREST_CREDITS","FQ4 2007","FQ4 2007","Currency=USD","Period=FQ","BEST_FPERIOD_OVERRIDE=FQ","FILING_STATUS=OR","SCALING_FORMAT=MLN","FA_ADJUSTED=GAAP","Sort=A","Dates=H","DateFormat=P","Fill=—","Direction=H","UseDPDF=Y")</f>
        <v>283</v>
      </c>
      <c r="AO23" s="13">
        <f>_xll.BDH("XOM US Equity","MIN_NONCONTROL_INTEREST_CREDITS","FQ1 2008","FQ1 2008","Currency=USD","Period=FQ","BEST_FPERIOD_OVERRIDE=FQ","FILING_STATUS=OR","SCALING_FORMAT=MLN","FA_ADJUSTED=GAAP","Sort=A","Dates=H","DateFormat=P","Fill=—","Direction=H","UseDPDF=Y")</f>
        <v>282</v>
      </c>
      <c r="AP23" s="13">
        <f>_xll.BDH("XOM US Equity","MIN_NONCONTROL_INTEREST_CREDITS","FQ2 2008","FQ2 2008","Currency=USD","Period=FQ","BEST_FPERIOD_OVERRIDE=FQ","FILING_STATUS=OR","SCALING_FORMAT=MLN","FA_ADJUSTED=GAAP","Sort=A","Dates=H","DateFormat=P","Fill=—","Direction=H","UseDPDF=Y")</f>
        <v>225</v>
      </c>
    </row>
    <row r="24" spans="1:42" x14ac:dyDescent="0.25">
      <c r="A24" s="6" t="s">
        <v>121</v>
      </c>
      <c r="B24" s="6" t="s">
        <v>122</v>
      </c>
      <c r="C24" s="16">
        <f>_xll.BDH("XOM US Equity","NET_INCOME","FQ3 1998","FQ3 1998","Currency=USD","Period=FQ","BEST_FPERIOD_OVERRIDE=FQ","FILING_STATUS=OR","SCALING_FORMAT=MLN","FA_ADJUSTED=GAAP","Sort=A","Dates=H","DateFormat=P","Fill=—","Direction=H","UseDPDF=Y")</f>
        <v>1400</v>
      </c>
      <c r="D24" s="16">
        <f>_xll.BDH("XOM US Equity","NET_INCOME","FQ4 1998","FQ4 1998","Currency=USD","Period=FQ","BEST_FPERIOD_OVERRIDE=FQ","FILING_STATUS=OR","SCALING_FORMAT=MLN","FA_ADJUSTED=GAAP","Sort=A","Dates=H","DateFormat=P","Fill=—","Direction=H","UseDPDF=Y")</f>
        <v>1530</v>
      </c>
      <c r="E24" s="16">
        <f>_xll.BDH("XOM US Equity","NET_INCOME","FQ1 1999","FQ1 1999","Currency=USD","Period=FQ","BEST_FPERIOD_OVERRIDE=FQ","FILING_STATUS=OR","SCALING_FORMAT=MLN","FA_ADJUSTED=GAAP","Sort=A","Dates=H","DateFormat=P","Fill=—","Direction=H","UseDPDF=Y")</f>
        <v>1020</v>
      </c>
      <c r="F24" s="16">
        <f>_xll.BDH("XOM US Equity","NET_INCOME","FQ2 1999","FQ2 1999","Currency=USD","Period=FQ","BEST_FPERIOD_OVERRIDE=FQ","FILING_STATUS=OR","SCALING_FORMAT=MLN","FA_ADJUSTED=GAAP","Sort=A","Dates=H","DateFormat=P","Fill=—","Direction=H","UseDPDF=Y")</f>
        <v>1205</v>
      </c>
      <c r="G24" s="16">
        <f>_xll.BDH("XOM US Equity","NET_INCOME","FQ3 1999","FQ3 1999","Currency=USD","Period=FQ","BEST_FPERIOD_OVERRIDE=FQ","FILING_STATUS=OR","SCALING_FORMAT=MLN","FA_ADJUSTED=GAAP","Sort=A","Dates=H","DateFormat=P","Fill=—","Direction=H","UseDPDF=Y")</f>
        <v>1500</v>
      </c>
      <c r="H24" s="16">
        <f>_xll.BDH("XOM US Equity","NET_INCOME","FQ4 1999","FQ4 1999","Currency=USD","Period=FQ","BEST_FPERIOD_OVERRIDE=FQ","FILING_STATUS=OR","SCALING_FORMAT=MLN","FA_ADJUSTED=GAAP","Sort=A","Dates=H","DateFormat=P","Fill=—","Direction=H","UseDPDF=Y")</f>
        <v>4185</v>
      </c>
      <c r="I24" s="16">
        <f>_xll.BDH("XOM US Equity","NET_INCOME","FQ1 2000","FQ1 2000","Currency=USD","Period=FQ","BEST_FPERIOD_OVERRIDE=FQ","FILING_STATUS=OR","SCALING_FORMAT=MLN","FA_ADJUSTED=GAAP","Sort=A","Dates=H","DateFormat=P","Fill=—","Direction=H","UseDPDF=Y")</f>
        <v>3480</v>
      </c>
      <c r="J24" s="16">
        <f>_xll.BDH("XOM US Equity","NET_INCOME","FQ2 2000","FQ2 2000","Currency=USD","Period=FQ","BEST_FPERIOD_OVERRIDE=FQ","FILING_STATUS=OR","SCALING_FORMAT=MLN","FA_ADJUSTED=GAAP","Sort=A","Dates=H","DateFormat=P","Fill=—","Direction=H","UseDPDF=Y")</f>
        <v>4530</v>
      </c>
      <c r="K24" s="16">
        <f>_xll.BDH("XOM US Equity","NET_INCOME","FQ3 2000","FQ3 2000","Currency=USD","Period=FQ","BEST_FPERIOD_OVERRIDE=FQ","FILING_STATUS=OR","SCALING_FORMAT=MLN","FA_ADJUSTED=GAAP","Sort=A","Dates=H","DateFormat=P","Fill=—","Direction=H","UseDPDF=Y")</f>
        <v>4490</v>
      </c>
      <c r="L24" s="16">
        <f>_xll.BDH("XOM US Equity","NET_INCOME","FQ4 2000","FQ4 2000","Currency=USD","Period=FQ","BEST_FPERIOD_OVERRIDE=FQ","FILING_STATUS=OR","SCALING_FORMAT=MLN","FA_ADJUSTED=GAAP","Sort=A","Dates=H","DateFormat=P","Fill=—","Direction=H","UseDPDF=Y")</f>
        <v>5220</v>
      </c>
      <c r="M24" s="16">
        <f>_xll.BDH("XOM US Equity","NET_INCOME","FQ1 2001","FQ1 2001","Currency=USD","Period=FQ","BEST_FPERIOD_OVERRIDE=FQ","FILING_STATUS=OR","SCALING_FORMAT=MLN","FA_ADJUSTED=GAAP","Sort=A","Dates=H","DateFormat=P","Fill=—","Direction=H","UseDPDF=Y")</f>
        <v>5000</v>
      </c>
      <c r="N24" s="16">
        <f>_xll.BDH("XOM US Equity","NET_INCOME","FQ2 2001","FQ2 2001","Currency=USD","Period=FQ","BEST_FPERIOD_OVERRIDE=FQ","FILING_STATUS=OR","SCALING_FORMAT=MLN","FA_ADJUSTED=GAAP","Sort=A","Dates=H","DateFormat=P","Fill=—","Direction=H","UseDPDF=Y")</f>
        <v>4460</v>
      </c>
      <c r="O24" s="16">
        <f>_xll.BDH("XOM US Equity","NET_INCOME","FQ3 2001","FQ3 2001","Currency=USD","Period=FQ","BEST_FPERIOD_OVERRIDE=FQ","FILING_STATUS=OR","SCALING_FORMAT=MLN","FA_ADJUSTED=GAAP","Sort=A","Dates=H","DateFormat=P","Fill=—","Direction=H","UseDPDF=Y")</f>
        <v>3180</v>
      </c>
      <c r="P24" s="16">
        <f>_xll.BDH("XOM US Equity","NET_INCOME","FQ4 2001","FQ4 2001","Currency=USD","Period=FQ","BEST_FPERIOD_OVERRIDE=FQ","FILING_STATUS=OR","SCALING_FORMAT=MLN","FA_ADJUSTED=GAAP","Sort=A","Dates=H","DateFormat=P","Fill=—","Direction=H","UseDPDF=Y")</f>
        <v>2680</v>
      </c>
      <c r="Q24" s="16">
        <f>_xll.BDH("XOM US Equity","NET_INCOME","FQ1 2002","FQ1 2002","Currency=USD","Period=FQ","BEST_FPERIOD_OVERRIDE=FQ","FILING_STATUS=OR","SCALING_FORMAT=MLN","FA_ADJUSTED=GAAP","Sort=A","Dates=H","DateFormat=P","Fill=—","Direction=H","UseDPDF=Y")</f>
        <v>2090</v>
      </c>
      <c r="R24" s="16">
        <f>_xll.BDH("XOM US Equity","NET_INCOME","FQ2 2002","FQ2 2002","Currency=USD","Period=FQ","BEST_FPERIOD_OVERRIDE=FQ","FILING_STATUS=OR","SCALING_FORMAT=MLN","FA_ADJUSTED=GAAP","Sort=A","Dates=H","DateFormat=P","Fill=—","Direction=H","UseDPDF=Y")</f>
        <v>2640</v>
      </c>
      <c r="S24" s="16">
        <f>_xll.BDH("XOM US Equity","NET_INCOME","FQ3 2002","FQ3 2002","Currency=USD","Period=FQ","BEST_FPERIOD_OVERRIDE=FQ","FILING_STATUS=OR","SCALING_FORMAT=MLN","FA_ADJUSTED=GAAP","Sort=A","Dates=H","DateFormat=P","Fill=—","Direction=H","UseDPDF=Y")</f>
        <v>2640</v>
      </c>
      <c r="T24" s="16">
        <f>_xll.BDH("XOM US Equity","NET_INCOME","FQ4 2002","FQ4 2002","Currency=USD","Period=FQ","BEST_FPERIOD_OVERRIDE=FQ","FILING_STATUS=OR","SCALING_FORMAT=MLN","FA_ADJUSTED=GAAP","Sort=A","Dates=H","DateFormat=P","Fill=—","Direction=H","UseDPDF=Y")</f>
        <v>4090</v>
      </c>
      <c r="U24" s="16">
        <f>_xll.BDH("XOM US Equity","NET_INCOME","FQ1 2003","FQ1 2003","Currency=USD","Period=FQ","BEST_FPERIOD_OVERRIDE=FQ","FILING_STATUS=OR","SCALING_FORMAT=MLN","FA_ADJUSTED=GAAP","Sort=A","Dates=H","DateFormat=P","Fill=—","Direction=H","UseDPDF=Y")</f>
        <v>7040</v>
      </c>
      <c r="V24" s="16">
        <f>_xll.BDH("XOM US Equity","NET_INCOME","FQ2 2003","FQ2 2003","Currency=USD","Period=FQ","BEST_FPERIOD_OVERRIDE=FQ","FILING_STATUS=OR","SCALING_FORMAT=MLN","FA_ADJUSTED=GAAP","Sort=A","Dates=H","DateFormat=P","Fill=—","Direction=H","UseDPDF=Y")</f>
        <v>4170</v>
      </c>
      <c r="W24" s="16">
        <f>_xll.BDH("XOM US Equity","NET_INCOME","FQ3 2003","FQ3 2003","Currency=USD","Period=FQ","BEST_FPERIOD_OVERRIDE=FQ","FILING_STATUS=OR","SCALING_FORMAT=MLN","FA_ADJUSTED=GAAP","Sort=A","Dates=H","DateFormat=P","Fill=—","Direction=H","UseDPDF=Y")</f>
        <v>3650</v>
      </c>
      <c r="X24" s="16">
        <f>_xll.BDH("XOM US Equity","NET_INCOME","FQ4 2003","FQ4 2003","Currency=USD","Period=FQ","BEST_FPERIOD_OVERRIDE=FQ","FILING_STATUS=OR","SCALING_FORMAT=MLN","FA_ADJUSTED=GAAP","Sort=A","Dates=H","DateFormat=P","Fill=—","Direction=H","UseDPDF=Y")</f>
        <v>6650</v>
      </c>
      <c r="Y24" s="16">
        <f>_xll.BDH("XOM US Equity","NET_INCOME","FQ1 2004","FQ1 2004","Currency=USD","Period=FQ","BEST_FPERIOD_OVERRIDE=FQ","FILING_STATUS=OR","SCALING_FORMAT=MLN","FA_ADJUSTED=GAAP","Sort=A","Dates=H","DateFormat=P","Fill=—","Direction=H","UseDPDF=Y")</f>
        <v>5440</v>
      </c>
      <c r="Z24" s="16">
        <f>_xll.BDH("XOM US Equity","NET_INCOME","FQ2 2004","FQ2 2004","Currency=USD","Period=FQ","BEST_FPERIOD_OVERRIDE=FQ","FILING_STATUS=OR","SCALING_FORMAT=MLN","FA_ADJUSTED=GAAP","Sort=A","Dates=H","DateFormat=P","Fill=—","Direction=H","UseDPDF=Y")</f>
        <v>5790</v>
      </c>
      <c r="AA24" s="16">
        <f>_xll.BDH("XOM US Equity","NET_INCOME","FQ3 2004","FQ3 2004","Currency=USD","Period=FQ","BEST_FPERIOD_OVERRIDE=FQ","FILING_STATUS=OR","SCALING_FORMAT=MLN","FA_ADJUSTED=GAAP","Sort=A","Dates=H","DateFormat=P","Fill=—","Direction=H","UseDPDF=Y")</f>
        <v>5680</v>
      </c>
      <c r="AB24" s="16">
        <f>_xll.BDH("XOM US Equity","NET_INCOME","FQ4 2004","FQ4 2004","Currency=USD","Period=FQ","BEST_FPERIOD_OVERRIDE=FQ","FILING_STATUS=OR","SCALING_FORMAT=MLN","FA_ADJUSTED=GAAP","Sort=A","Dates=H","DateFormat=P","Fill=—","Direction=H","UseDPDF=Y")</f>
        <v>8420</v>
      </c>
      <c r="AC24" s="16">
        <f>_xll.BDH("XOM US Equity","NET_INCOME","FQ1 2005","FQ1 2005","Currency=USD","Period=FQ","BEST_FPERIOD_OVERRIDE=FQ","FILING_STATUS=OR","SCALING_FORMAT=MLN","FA_ADJUSTED=GAAP","Sort=A","Dates=H","DateFormat=P","Fill=—","Direction=H","UseDPDF=Y")</f>
        <v>7860</v>
      </c>
      <c r="AD24" s="16">
        <f>_xll.BDH("XOM US Equity","NET_INCOME","FQ2 2005","FQ2 2005","Currency=USD","Period=FQ","BEST_FPERIOD_OVERRIDE=FQ","FILING_STATUS=OR","SCALING_FORMAT=MLN","FA_ADJUSTED=GAAP","Sort=A","Dates=H","DateFormat=P","Fill=—","Direction=H","UseDPDF=Y")</f>
        <v>7640</v>
      </c>
      <c r="AE24" s="16">
        <f>_xll.BDH("XOM US Equity","NET_INCOME","FQ3 2005","FQ3 2005","Currency=USD","Period=FQ","BEST_FPERIOD_OVERRIDE=FQ","FILING_STATUS=OR","SCALING_FORMAT=MLN","FA_ADJUSTED=GAAP","Sort=A","Dates=H","DateFormat=P","Fill=—","Direction=H","UseDPDF=Y")</f>
        <v>9920</v>
      </c>
      <c r="AF24" s="16">
        <f>_xll.BDH("XOM US Equity","NET_INCOME","FQ4 2005","FQ4 2005","Currency=USD","Period=FQ","BEST_FPERIOD_OVERRIDE=FQ","FILING_STATUS=OR","SCALING_FORMAT=MLN","FA_ADJUSTED=GAAP","Sort=A","Dates=H","DateFormat=P","Fill=—","Direction=H","UseDPDF=Y")</f>
        <v>10710</v>
      </c>
      <c r="AG24" s="16">
        <f>_xll.BDH("XOM US Equity","NET_INCOME","FQ1 2006","FQ1 2006","Currency=USD","Period=FQ","BEST_FPERIOD_OVERRIDE=FQ","FILING_STATUS=OR","SCALING_FORMAT=MLN","FA_ADJUSTED=GAAP","Sort=A","Dates=H","DateFormat=P","Fill=—","Direction=H","UseDPDF=Y")</f>
        <v>8400</v>
      </c>
      <c r="AH24" s="16">
        <f>_xll.BDH("XOM US Equity","NET_INCOME","FQ2 2006","FQ2 2006","Currency=USD","Period=FQ","BEST_FPERIOD_OVERRIDE=FQ","FILING_STATUS=OR","SCALING_FORMAT=MLN","FA_ADJUSTED=GAAP","Sort=A","Dates=H","DateFormat=P","Fill=—","Direction=H","UseDPDF=Y")</f>
        <v>10360</v>
      </c>
      <c r="AI24" s="16">
        <f>_xll.BDH("XOM US Equity","NET_INCOME","FQ3 2006","FQ3 2006","Currency=USD","Period=FQ","BEST_FPERIOD_OVERRIDE=FQ","FILING_STATUS=OR","SCALING_FORMAT=MLN","FA_ADJUSTED=GAAP","Sort=A","Dates=H","DateFormat=P","Fill=—","Direction=H","UseDPDF=Y")</f>
        <v>10490</v>
      </c>
      <c r="AJ24" s="16">
        <f>_xll.BDH("XOM US Equity","NET_INCOME","FQ4 2006","FQ4 2006","Currency=USD","Period=FQ","BEST_FPERIOD_OVERRIDE=FQ","FILING_STATUS=OR","SCALING_FORMAT=MLN","FA_ADJUSTED=GAAP","Sort=A","Dates=H","DateFormat=P","Fill=—","Direction=H","UseDPDF=Y")</f>
        <v>10250</v>
      </c>
      <c r="AK24" s="16">
        <f>_xll.BDH("XOM US Equity","NET_INCOME","FQ1 2007","FQ1 2007","Currency=USD","Period=FQ","BEST_FPERIOD_OVERRIDE=FQ","FILING_STATUS=OR","SCALING_FORMAT=MLN","FA_ADJUSTED=GAAP","Sort=A","Dates=H","DateFormat=P","Fill=—","Direction=H","UseDPDF=Y")</f>
        <v>9280</v>
      </c>
      <c r="AL24" s="16">
        <f>_xll.BDH("XOM US Equity","NET_INCOME","FQ2 2007","FQ2 2007","Currency=USD","Period=FQ","BEST_FPERIOD_OVERRIDE=FQ","FILING_STATUS=OR","SCALING_FORMAT=MLN","FA_ADJUSTED=GAAP","Sort=A","Dates=H","DateFormat=P","Fill=—","Direction=H","UseDPDF=Y")</f>
        <v>10260</v>
      </c>
      <c r="AM24" s="16">
        <f>_xll.BDH("XOM US Equity","NET_INCOME","FQ3 2007","FQ3 2007","Currency=USD","Period=FQ","BEST_FPERIOD_OVERRIDE=FQ","FILING_STATUS=OR","SCALING_FORMAT=MLN","FA_ADJUSTED=GAAP","Sort=A","Dates=H","DateFormat=P","Fill=—","Direction=H","UseDPDF=Y")</f>
        <v>9410</v>
      </c>
      <c r="AN24" s="16">
        <f>_xll.BDH("XOM US Equity","NET_INCOME","FQ4 2007","FQ4 2007","Currency=USD","Period=FQ","BEST_FPERIOD_OVERRIDE=FQ","FILING_STATUS=OR","SCALING_FORMAT=MLN","FA_ADJUSTED=GAAP","Sort=A","Dates=H","DateFormat=P","Fill=—","Direction=H","UseDPDF=Y")</f>
        <v>11660</v>
      </c>
      <c r="AO24" s="16">
        <f>_xll.BDH("XOM US Equity","NET_INCOME","FQ1 2008","FQ1 2008","Currency=USD","Period=FQ","BEST_FPERIOD_OVERRIDE=FQ","FILING_STATUS=OR","SCALING_FORMAT=MLN","FA_ADJUSTED=GAAP","Sort=A","Dates=H","DateFormat=P","Fill=—","Direction=H","UseDPDF=Y")</f>
        <v>10890</v>
      </c>
      <c r="AP24" s="16">
        <f>_xll.BDH("XOM US Equity","NET_INCOME","FQ2 2008","FQ2 2008","Currency=USD","Period=FQ","BEST_FPERIOD_OVERRIDE=FQ","FILING_STATUS=OR","SCALING_FORMAT=MLN","FA_ADJUSTED=GAAP","Sort=A","Dates=H","DateFormat=P","Fill=—","Direction=H","UseDPDF=Y")</f>
        <v>11680</v>
      </c>
    </row>
    <row r="25" spans="1:42" x14ac:dyDescent="0.25">
      <c r="A25" s="10" t="s">
        <v>123</v>
      </c>
      <c r="B25" s="10" t="s">
        <v>124</v>
      </c>
      <c r="C25" s="13">
        <f>_xll.BDH("XOM US Equity","IS_TOT_CASH_PFD_DVD","FQ3 1998","FQ3 1998","Currency=USD","Period=FQ","BEST_FPERIOD_OVERRIDE=FQ","FILING_STATUS=OR","SCALING_FORMAT=MLN","Sort=A","Dates=H","DateFormat=P","Fill=—","Direction=H","UseDPDF=Y")</f>
        <v>2.5</v>
      </c>
      <c r="D25" s="13" t="str">
        <f>_xll.BDH("XOM US Equity","IS_TOT_CASH_PFD_DVD","FQ4 1998","FQ4 1998","Currency=USD","Period=FQ","BEST_FPERIOD_OVERRIDE=FQ","FILING_STATUS=OR","SCALING_FORMAT=MLN","Sort=A","Dates=H","DateFormat=P","Fill=—","Direction=H","UseDPDF=Y")</f>
        <v>—</v>
      </c>
      <c r="E25" s="13">
        <f>_xll.BDH("XOM US Equity","IS_TOT_CASH_PFD_DVD","FQ1 1999","FQ1 1999","Currency=USD","Period=FQ","BEST_FPERIOD_OVERRIDE=FQ","FILING_STATUS=OR","SCALING_FORMAT=MLN","Sort=A","Dates=H","DateFormat=P","Fill=—","Direction=H","UseDPDF=Y")</f>
        <v>2</v>
      </c>
      <c r="F25" s="13">
        <f>_xll.BDH("XOM US Equity","IS_TOT_CASH_PFD_DVD","FQ2 1999","FQ2 1999","Currency=USD","Period=FQ","BEST_FPERIOD_OVERRIDE=FQ","FILING_STATUS=OR","SCALING_FORMAT=MLN","Sort=A","Dates=H","DateFormat=P","Fill=—","Direction=H","UseDPDF=Y")</f>
        <v>1</v>
      </c>
      <c r="G25" s="13">
        <f>_xll.BDH("XOM US Equity","IS_TOT_CASH_PFD_DVD","FQ3 1999","FQ3 1999","Currency=USD","Period=FQ","BEST_FPERIOD_OVERRIDE=FQ","FILING_STATUS=OR","SCALING_FORMAT=MLN","Sort=A","Dates=H","DateFormat=P","Fill=—","Direction=H","UseDPDF=Y")</f>
        <v>0</v>
      </c>
      <c r="H25" s="13">
        <f>_xll.BDH("XOM US Equity","IS_TOT_CASH_PFD_DVD","FQ4 1999","FQ4 1999","Currency=USD","Period=FQ","BEST_FPERIOD_OVERRIDE=FQ","FILING_STATUS=OR","SCALING_FORMAT=MLN","Sort=A","Dates=H","DateFormat=P","Fill=—","Direction=H","UseDPDF=Y")</f>
        <v>0</v>
      </c>
      <c r="I25" s="13">
        <f>_xll.BDH("XOM US Equity","IS_TOT_CASH_PFD_DVD","FQ1 2000","FQ1 2000","Currency=USD","Period=FQ","BEST_FPERIOD_OVERRIDE=FQ","FILING_STATUS=OR","SCALING_FORMAT=MLN","Sort=A","Dates=H","DateFormat=P","Fill=—","Direction=H","UseDPDF=Y")</f>
        <v>0</v>
      </c>
      <c r="J25" s="13">
        <f>_xll.BDH("XOM US Equity","IS_TOT_CASH_PFD_DVD","FQ2 2000","FQ2 2000","Currency=USD","Period=FQ","BEST_FPERIOD_OVERRIDE=FQ","FILING_STATUS=OR","SCALING_FORMAT=MLN","Sort=A","Dates=H","DateFormat=P","Fill=—","Direction=H","UseDPDF=Y")</f>
        <v>0</v>
      </c>
      <c r="K25" s="13">
        <f>_xll.BDH("XOM US Equity","IS_TOT_CASH_PFD_DVD","FQ3 2000","FQ3 2000","Currency=USD","Period=FQ","BEST_FPERIOD_OVERRIDE=FQ","FILING_STATUS=OR","SCALING_FORMAT=MLN","Sort=A","Dates=H","DateFormat=P","Fill=—","Direction=H","UseDPDF=Y")</f>
        <v>0</v>
      </c>
      <c r="L25" s="13">
        <f>_xll.BDH("XOM US Equity","IS_TOT_CASH_PFD_DVD","FQ4 2000","FQ4 2000","Currency=USD","Period=FQ","BEST_FPERIOD_OVERRIDE=FQ","FILING_STATUS=OR","SCALING_FORMAT=MLN","Sort=A","Dates=H","DateFormat=P","Fill=—","Direction=H","UseDPDF=Y")</f>
        <v>0</v>
      </c>
      <c r="M25" s="13">
        <f>_xll.BDH("XOM US Equity","IS_TOT_CASH_PFD_DVD","FQ1 2001","FQ1 2001","Currency=USD","Period=FQ","BEST_FPERIOD_OVERRIDE=FQ","FILING_STATUS=OR","SCALING_FORMAT=MLN","Sort=A","Dates=H","DateFormat=P","Fill=—","Direction=H","UseDPDF=Y")</f>
        <v>0</v>
      </c>
      <c r="N25" s="13">
        <f>_xll.BDH("XOM US Equity","IS_TOT_CASH_PFD_DVD","FQ2 2001","FQ2 2001","Currency=USD","Period=FQ","BEST_FPERIOD_OVERRIDE=FQ","FILING_STATUS=OR","SCALING_FORMAT=MLN","Sort=A","Dates=H","DateFormat=P","Fill=—","Direction=H","UseDPDF=Y")</f>
        <v>0</v>
      </c>
      <c r="O25" s="13">
        <f>_xll.BDH("XOM US Equity","IS_TOT_CASH_PFD_DVD","FQ3 2001","FQ3 2001","Currency=USD","Period=FQ","BEST_FPERIOD_OVERRIDE=FQ","FILING_STATUS=OR","SCALING_FORMAT=MLN","Sort=A","Dates=H","DateFormat=P","Fill=—","Direction=H","UseDPDF=Y")</f>
        <v>0</v>
      </c>
      <c r="P25" s="13">
        <f>_xll.BDH("XOM US Equity","IS_TOT_CASH_PFD_DVD","FQ4 2001","FQ4 2001","Currency=USD","Period=FQ","BEST_FPERIOD_OVERRIDE=FQ","FILING_STATUS=OR","SCALING_FORMAT=MLN","Sort=A","Dates=H","DateFormat=P","Fill=—","Direction=H","UseDPDF=Y")</f>
        <v>0</v>
      </c>
      <c r="Q25" s="13">
        <f>_xll.BDH("XOM US Equity","IS_TOT_CASH_PFD_DVD","FQ1 2002","FQ1 2002","Currency=USD","Period=FQ","BEST_FPERIOD_OVERRIDE=FQ","FILING_STATUS=OR","SCALING_FORMAT=MLN","Sort=A","Dates=H","DateFormat=P","Fill=—","Direction=H","UseDPDF=Y")</f>
        <v>0</v>
      </c>
      <c r="R25" s="13">
        <f>_xll.BDH("XOM US Equity","IS_TOT_CASH_PFD_DVD","FQ2 2002","FQ2 2002","Currency=USD","Period=FQ","BEST_FPERIOD_OVERRIDE=FQ","FILING_STATUS=OR","SCALING_FORMAT=MLN","Sort=A","Dates=H","DateFormat=P","Fill=—","Direction=H","UseDPDF=Y")</f>
        <v>0</v>
      </c>
      <c r="S25" s="13">
        <f>_xll.BDH("XOM US Equity","IS_TOT_CASH_PFD_DVD","FQ3 2002","FQ3 2002","Currency=USD","Period=FQ","BEST_FPERIOD_OVERRIDE=FQ","FILING_STATUS=OR","SCALING_FORMAT=MLN","Sort=A","Dates=H","DateFormat=P","Fill=—","Direction=H","UseDPDF=Y")</f>
        <v>0</v>
      </c>
      <c r="T25" s="13">
        <f>_xll.BDH("XOM US Equity","IS_TOT_CASH_PFD_DVD","FQ4 2002","FQ4 2002","Currency=USD","Period=FQ","BEST_FPERIOD_OVERRIDE=FQ","FILING_STATUS=OR","SCALING_FORMAT=MLN","Sort=A","Dates=H","DateFormat=P","Fill=—","Direction=H","UseDPDF=Y")</f>
        <v>0</v>
      </c>
      <c r="U25" s="13">
        <f>_xll.BDH("XOM US Equity","IS_TOT_CASH_PFD_DVD","FQ1 2003","FQ1 2003","Currency=USD","Period=FQ","BEST_FPERIOD_OVERRIDE=FQ","FILING_STATUS=OR","SCALING_FORMAT=MLN","Sort=A","Dates=H","DateFormat=P","Fill=—","Direction=H","UseDPDF=Y")</f>
        <v>0</v>
      </c>
      <c r="V25" s="13">
        <f>_xll.BDH("XOM US Equity","IS_TOT_CASH_PFD_DVD","FQ2 2003","FQ2 2003","Currency=USD","Period=FQ","BEST_FPERIOD_OVERRIDE=FQ","FILING_STATUS=OR","SCALING_FORMAT=MLN","Sort=A","Dates=H","DateFormat=P","Fill=—","Direction=H","UseDPDF=Y")</f>
        <v>0</v>
      </c>
      <c r="W25" s="13">
        <f>_xll.BDH("XOM US Equity","IS_TOT_CASH_PFD_DVD","FQ3 2003","FQ3 2003","Currency=USD","Period=FQ","BEST_FPERIOD_OVERRIDE=FQ","FILING_STATUS=OR","SCALING_FORMAT=MLN","Sort=A","Dates=H","DateFormat=P","Fill=—","Direction=H","UseDPDF=Y")</f>
        <v>0</v>
      </c>
      <c r="X25" s="13">
        <f>_xll.BDH("XOM US Equity","IS_TOT_CASH_PFD_DVD","FQ4 2003","FQ4 2003","Currency=USD","Period=FQ","BEST_FPERIOD_OVERRIDE=FQ","FILING_STATUS=OR","SCALING_FORMAT=MLN","Sort=A","Dates=H","DateFormat=P","Fill=—","Direction=H","UseDPDF=Y")</f>
        <v>0</v>
      </c>
      <c r="Y25" s="13">
        <f>_xll.BDH("XOM US Equity","IS_TOT_CASH_PFD_DVD","FQ1 2004","FQ1 2004","Currency=USD","Period=FQ","BEST_FPERIOD_OVERRIDE=FQ","FILING_STATUS=OR","SCALING_FORMAT=MLN","Sort=A","Dates=H","DateFormat=P","Fill=—","Direction=H","UseDPDF=Y")</f>
        <v>0</v>
      </c>
      <c r="Z25" s="13">
        <f>_xll.BDH("XOM US Equity","IS_TOT_CASH_PFD_DVD","FQ2 2004","FQ2 2004","Currency=USD","Period=FQ","BEST_FPERIOD_OVERRIDE=FQ","FILING_STATUS=OR","SCALING_FORMAT=MLN","Sort=A","Dates=H","DateFormat=P","Fill=—","Direction=H","UseDPDF=Y")</f>
        <v>0</v>
      </c>
      <c r="AA25" s="13">
        <f>_xll.BDH("XOM US Equity","IS_TOT_CASH_PFD_DVD","FQ3 2004","FQ3 2004","Currency=USD","Period=FQ","BEST_FPERIOD_OVERRIDE=FQ","FILING_STATUS=OR","SCALING_FORMAT=MLN","Sort=A","Dates=H","DateFormat=P","Fill=—","Direction=H","UseDPDF=Y")</f>
        <v>0</v>
      </c>
      <c r="AB25" s="13">
        <f>_xll.BDH("XOM US Equity","IS_TOT_CASH_PFD_DVD","FQ4 2004","FQ4 2004","Currency=USD","Period=FQ","BEST_FPERIOD_OVERRIDE=FQ","FILING_STATUS=OR","SCALING_FORMAT=MLN","Sort=A","Dates=H","DateFormat=P","Fill=—","Direction=H","UseDPDF=Y")</f>
        <v>0</v>
      </c>
      <c r="AC25" s="13">
        <f>_xll.BDH("XOM US Equity","IS_TOT_CASH_PFD_DVD","FQ1 2005","FQ1 2005","Currency=USD","Period=FQ","BEST_FPERIOD_OVERRIDE=FQ","FILING_STATUS=OR","SCALING_FORMAT=MLN","Sort=A","Dates=H","DateFormat=P","Fill=—","Direction=H","UseDPDF=Y")</f>
        <v>0</v>
      </c>
      <c r="AD25" s="13">
        <f>_xll.BDH("XOM US Equity","IS_TOT_CASH_PFD_DVD","FQ2 2005","FQ2 2005","Currency=USD","Period=FQ","BEST_FPERIOD_OVERRIDE=FQ","FILING_STATUS=OR","SCALING_FORMAT=MLN","Sort=A","Dates=H","DateFormat=P","Fill=—","Direction=H","UseDPDF=Y")</f>
        <v>0</v>
      </c>
      <c r="AE25" s="13">
        <f>_xll.BDH("XOM US Equity","IS_TOT_CASH_PFD_DVD","FQ3 2005","FQ3 2005","Currency=USD","Period=FQ","BEST_FPERIOD_OVERRIDE=FQ","FILING_STATUS=OR","SCALING_FORMAT=MLN","Sort=A","Dates=H","DateFormat=P","Fill=—","Direction=H","UseDPDF=Y")</f>
        <v>0</v>
      </c>
      <c r="AF25" s="13">
        <f>_xll.BDH("XOM US Equity","IS_TOT_CASH_PFD_DVD","FQ4 2005","FQ4 2005","Currency=USD","Period=FQ","BEST_FPERIOD_OVERRIDE=FQ","FILING_STATUS=OR","SCALING_FORMAT=MLN","Sort=A","Dates=H","DateFormat=P","Fill=—","Direction=H","UseDPDF=Y")</f>
        <v>0</v>
      </c>
      <c r="AG25" s="13" t="str">
        <f>_xll.BDH("XOM US Equity","IS_TOT_CASH_PFD_DVD","FQ1 2006","FQ1 2006","Currency=USD","Period=FQ","BEST_FPERIOD_OVERRIDE=FQ","FILING_STATUS=OR","SCALING_FORMAT=MLN","Sort=A","Dates=H","DateFormat=P","Fill=—","Direction=H","UseDPDF=Y")</f>
        <v>—</v>
      </c>
      <c r="AH25" s="13" t="str">
        <f>_xll.BDH("XOM US Equity","IS_TOT_CASH_PFD_DVD","FQ2 2006","FQ2 2006","Currency=USD","Period=FQ","BEST_FPERIOD_OVERRIDE=FQ","FILING_STATUS=OR","SCALING_FORMAT=MLN","Sort=A","Dates=H","DateFormat=P","Fill=—","Direction=H","UseDPDF=Y")</f>
        <v>—</v>
      </c>
      <c r="AI25" s="13" t="str">
        <f>_xll.BDH("XOM US Equity","IS_TOT_CASH_PFD_DVD","FQ3 2006","FQ3 2006","Currency=USD","Period=FQ","BEST_FPERIOD_OVERRIDE=FQ","FILING_STATUS=OR","SCALING_FORMAT=MLN","Sort=A","Dates=H","DateFormat=P","Fill=—","Direction=H","UseDPDF=Y")</f>
        <v>—</v>
      </c>
      <c r="AJ25" s="13">
        <f>_xll.BDH("XOM US Equity","IS_TOT_CASH_PFD_DVD","FQ4 2006","FQ4 2006","Currency=USD","Period=FQ","BEST_FPERIOD_OVERRIDE=FQ","FILING_STATUS=OR","SCALING_FORMAT=MLN","Sort=A","Dates=H","DateFormat=P","Fill=—","Direction=H","UseDPDF=Y")</f>
        <v>0</v>
      </c>
      <c r="AK25" s="13">
        <f>_xll.BDH("XOM US Equity","IS_TOT_CASH_PFD_DVD","FQ1 2007","FQ1 2007","Currency=USD","Period=FQ","BEST_FPERIOD_OVERRIDE=FQ","FILING_STATUS=OR","SCALING_FORMAT=MLN","Sort=A","Dates=H","DateFormat=P","Fill=—","Direction=H","UseDPDF=Y")</f>
        <v>0</v>
      </c>
      <c r="AL25" s="13">
        <f>_xll.BDH("XOM US Equity","IS_TOT_CASH_PFD_DVD","FQ2 2007","FQ2 2007","Currency=USD","Period=FQ","BEST_FPERIOD_OVERRIDE=FQ","FILING_STATUS=OR","SCALING_FORMAT=MLN","Sort=A","Dates=H","DateFormat=P","Fill=—","Direction=H","UseDPDF=Y")</f>
        <v>0</v>
      </c>
      <c r="AM25" s="13">
        <f>_xll.BDH("XOM US Equity","IS_TOT_CASH_PFD_DVD","FQ3 2007","FQ3 2007","Currency=USD","Period=FQ","BEST_FPERIOD_OVERRIDE=FQ","FILING_STATUS=OR","SCALING_FORMAT=MLN","Sort=A","Dates=H","DateFormat=P","Fill=—","Direction=H","UseDPDF=Y")</f>
        <v>0</v>
      </c>
      <c r="AN25" s="13">
        <f>_xll.BDH("XOM US Equity","IS_TOT_CASH_PFD_DVD","FQ4 2007","FQ4 2007","Currency=USD","Period=FQ","BEST_FPERIOD_OVERRIDE=FQ","FILING_STATUS=OR","SCALING_FORMAT=MLN","Sort=A","Dates=H","DateFormat=P","Fill=—","Direction=H","UseDPDF=Y")</f>
        <v>0</v>
      </c>
      <c r="AO25" s="13">
        <f>_xll.BDH("XOM US Equity","IS_TOT_CASH_PFD_DVD","FQ1 2008","FQ1 2008","Currency=USD","Period=FQ","BEST_FPERIOD_OVERRIDE=FQ","FILING_STATUS=OR","SCALING_FORMAT=MLN","Sort=A","Dates=H","DateFormat=P","Fill=—","Direction=H","UseDPDF=Y")</f>
        <v>0</v>
      </c>
      <c r="AP25" s="13">
        <f>_xll.BDH("XOM US Equity","IS_TOT_CASH_PFD_DVD","FQ2 2008","FQ2 2008","Currency=USD","Period=FQ","BEST_FPERIOD_OVERRIDE=FQ","FILING_STATUS=OR","SCALING_FORMAT=MLN","Sort=A","Dates=H","DateFormat=P","Fill=—","Direction=H","UseDPDF=Y")</f>
        <v>0</v>
      </c>
    </row>
    <row r="26" spans="1:42" x14ac:dyDescent="0.25">
      <c r="A26" s="10" t="s">
        <v>125</v>
      </c>
      <c r="B26" s="10" t="s">
        <v>126</v>
      </c>
      <c r="C26" s="13" t="str">
        <f>_xll.BDH("XOM US Equity","OTHER_ADJUSTMENTS","FQ3 1998","FQ3 1998","Currency=USD","Period=FQ","BEST_FPERIOD_OVERRIDE=FQ","FILING_STATUS=OR","SCALING_FORMAT=MLN","Sort=A","Dates=H","DateFormat=P","Fill=—","Direction=H","UseDPDF=Y")</f>
        <v>—</v>
      </c>
      <c r="D26" s="13">
        <f>_xll.BDH("XOM US Equity","OTHER_ADJUSTMENTS","FQ4 1998","FQ4 1998","Currency=USD","Period=FQ","BEST_FPERIOD_OVERRIDE=FQ","FILING_STATUS=OR","SCALING_FORMAT=MLN","Sort=A","Dates=H","DateFormat=P","Fill=—","Direction=H","UseDPDF=Y")</f>
        <v>0</v>
      </c>
      <c r="E26" s="13" t="str">
        <f>_xll.BDH("XOM US Equity","OTHER_ADJUSTMENTS","FQ1 1999","FQ1 1999","Currency=USD","Period=FQ","BEST_FPERIOD_OVERRIDE=FQ","FILING_STATUS=OR","SCALING_FORMAT=MLN","Sort=A","Dates=H","DateFormat=P","Fill=—","Direction=H","UseDPDF=Y")</f>
        <v>—</v>
      </c>
      <c r="F26" s="13" t="str">
        <f>_xll.BDH("XOM US Equity","OTHER_ADJUSTMENTS","FQ2 1999","FQ2 1999","Currency=USD","Period=FQ","BEST_FPERIOD_OVERRIDE=FQ","FILING_STATUS=OR","SCALING_FORMAT=MLN","Sort=A","Dates=H","DateFormat=P","Fill=—","Direction=H","UseDPDF=Y")</f>
        <v>—</v>
      </c>
      <c r="G26" s="13" t="str">
        <f>_xll.BDH("XOM US Equity","OTHER_ADJUSTMENTS","FQ3 1999","FQ3 1999","Currency=USD","Period=FQ","BEST_FPERIOD_OVERRIDE=FQ","FILING_STATUS=OR","SCALING_FORMAT=MLN","Sort=A","Dates=H","DateFormat=P","Fill=—","Direction=H","UseDPDF=Y")</f>
        <v>—</v>
      </c>
      <c r="H26" s="13">
        <f>_xll.BDH("XOM US Equity","OTHER_ADJUSTMENTS","FQ4 1999","FQ4 1999","Currency=USD","Period=FQ","BEST_FPERIOD_OVERRIDE=FQ","FILING_STATUS=OR","SCALING_FORMAT=MLN","Sort=A","Dates=H","DateFormat=P","Fill=—","Direction=H","UseDPDF=Y")</f>
        <v>0</v>
      </c>
      <c r="I26" s="13">
        <f>_xll.BDH("XOM US Equity","OTHER_ADJUSTMENTS","FQ1 2000","FQ1 2000","Currency=USD","Period=FQ","BEST_FPERIOD_OVERRIDE=FQ","FILING_STATUS=OR","SCALING_FORMAT=MLN","Sort=A","Dates=H","DateFormat=P","Fill=—","Direction=H","UseDPDF=Y")</f>
        <v>0</v>
      </c>
      <c r="J26" s="13">
        <f>_xll.BDH("XOM US Equity","OTHER_ADJUSTMENTS","FQ2 2000","FQ2 2000","Currency=USD","Period=FQ","BEST_FPERIOD_OVERRIDE=FQ","FILING_STATUS=OR","SCALING_FORMAT=MLN","Sort=A","Dates=H","DateFormat=P","Fill=—","Direction=H","UseDPDF=Y")</f>
        <v>0</v>
      </c>
      <c r="K26" s="13">
        <f>_xll.BDH("XOM US Equity","OTHER_ADJUSTMENTS","FQ3 2000","FQ3 2000","Currency=USD","Period=FQ","BEST_FPERIOD_OVERRIDE=FQ","FILING_STATUS=OR","SCALING_FORMAT=MLN","Sort=A","Dates=H","DateFormat=P","Fill=—","Direction=H","UseDPDF=Y")</f>
        <v>0</v>
      </c>
      <c r="L26" s="13">
        <f>_xll.BDH("XOM US Equity","OTHER_ADJUSTMENTS","FQ4 2000","FQ4 2000","Currency=USD","Period=FQ","BEST_FPERIOD_OVERRIDE=FQ","FILING_STATUS=OR","SCALING_FORMAT=MLN","Sort=A","Dates=H","DateFormat=P","Fill=—","Direction=H","UseDPDF=Y")</f>
        <v>0</v>
      </c>
      <c r="M26" s="13">
        <f>_xll.BDH("XOM US Equity","OTHER_ADJUSTMENTS","FQ1 2001","FQ1 2001","Currency=USD","Period=FQ","BEST_FPERIOD_OVERRIDE=FQ","FILING_STATUS=OR","SCALING_FORMAT=MLN","Sort=A","Dates=H","DateFormat=P","Fill=—","Direction=H","UseDPDF=Y")</f>
        <v>0</v>
      </c>
      <c r="N26" s="13">
        <f>_xll.BDH("XOM US Equity","OTHER_ADJUSTMENTS","FQ2 2001","FQ2 2001","Currency=USD","Period=FQ","BEST_FPERIOD_OVERRIDE=FQ","FILING_STATUS=OR","SCALING_FORMAT=MLN","Sort=A","Dates=H","DateFormat=P","Fill=—","Direction=H","UseDPDF=Y")</f>
        <v>0</v>
      </c>
      <c r="O26" s="13" t="str">
        <f>_xll.BDH("XOM US Equity","OTHER_ADJUSTMENTS","FQ3 2001","FQ3 2001","Currency=USD","Period=FQ","BEST_FPERIOD_OVERRIDE=FQ","FILING_STATUS=OR","SCALING_FORMAT=MLN","Sort=A","Dates=H","DateFormat=P","Fill=—","Direction=H","UseDPDF=Y")</f>
        <v>—</v>
      </c>
      <c r="P26" s="13">
        <f>_xll.BDH("XOM US Equity","OTHER_ADJUSTMENTS","FQ4 2001","FQ4 2001","Currency=USD","Period=FQ","BEST_FPERIOD_OVERRIDE=FQ","FILING_STATUS=OR","SCALING_FORMAT=MLN","Sort=A","Dates=H","DateFormat=P","Fill=—","Direction=H","UseDPDF=Y")</f>
        <v>0</v>
      </c>
      <c r="Q26" s="13">
        <f>_xll.BDH("XOM US Equity","OTHER_ADJUSTMENTS","FQ1 2002","FQ1 2002","Currency=USD","Period=FQ","BEST_FPERIOD_OVERRIDE=FQ","FILING_STATUS=OR","SCALING_FORMAT=MLN","Sort=A","Dates=H","DateFormat=P","Fill=—","Direction=H","UseDPDF=Y")</f>
        <v>0</v>
      </c>
      <c r="R26" s="13">
        <f>_xll.BDH("XOM US Equity","OTHER_ADJUSTMENTS","FQ2 2002","FQ2 2002","Currency=USD","Period=FQ","BEST_FPERIOD_OVERRIDE=FQ","FILING_STATUS=OR","SCALING_FORMAT=MLN","Sort=A","Dates=H","DateFormat=P","Fill=—","Direction=H","UseDPDF=Y")</f>
        <v>0</v>
      </c>
      <c r="S26" s="13">
        <f>_xll.BDH("XOM US Equity","OTHER_ADJUSTMENTS","FQ3 2002","FQ3 2002","Currency=USD","Period=FQ","BEST_FPERIOD_OVERRIDE=FQ","FILING_STATUS=OR","SCALING_FORMAT=MLN","Sort=A","Dates=H","DateFormat=P","Fill=—","Direction=H","UseDPDF=Y")</f>
        <v>0</v>
      </c>
      <c r="T26" s="13">
        <f>_xll.BDH("XOM US Equity","OTHER_ADJUSTMENTS","FQ4 2002","FQ4 2002","Currency=USD","Period=FQ","BEST_FPERIOD_OVERRIDE=FQ","FILING_STATUS=OR","SCALING_FORMAT=MLN","Sort=A","Dates=H","DateFormat=P","Fill=—","Direction=H","UseDPDF=Y")</f>
        <v>0</v>
      </c>
      <c r="U26" s="13">
        <f>_xll.BDH("XOM US Equity","OTHER_ADJUSTMENTS","FQ1 2003","FQ1 2003","Currency=USD","Period=FQ","BEST_FPERIOD_OVERRIDE=FQ","FILING_STATUS=OR","SCALING_FORMAT=MLN","Sort=A","Dates=H","DateFormat=P","Fill=—","Direction=H","UseDPDF=Y")</f>
        <v>0</v>
      </c>
      <c r="V26" s="13">
        <f>_xll.BDH("XOM US Equity","OTHER_ADJUSTMENTS","FQ2 2003","FQ2 2003","Currency=USD","Period=FQ","BEST_FPERIOD_OVERRIDE=FQ","FILING_STATUS=OR","SCALING_FORMAT=MLN","Sort=A","Dates=H","DateFormat=P","Fill=—","Direction=H","UseDPDF=Y")</f>
        <v>0</v>
      </c>
      <c r="W26" s="13">
        <f>_xll.BDH("XOM US Equity","OTHER_ADJUSTMENTS","FQ3 2003","FQ3 2003","Currency=USD","Period=FQ","BEST_FPERIOD_OVERRIDE=FQ","FILING_STATUS=OR","SCALING_FORMAT=MLN","Sort=A","Dates=H","DateFormat=P","Fill=—","Direction=H","UseDPDF=Y")</f>
        <v>0</v>
      </c>
      <c r="X26" s="13">
        <f>_xll.BDH("XOM US Equity","OTHER_ADJUSTMENTS","FQ4 2003","FQ4 2003","Currency=USD","Period=FQ","BEST_FPERIOD_OVERRIDE=FQ","FILING_STATUS=OR","SCALING_FORMAT=MLN","Sort=A","Dates=H","DateFormat=P","Fill=—","Direction=H","UseDPDF=Y")</f>
        <v>0</v>
      </c>
      <c r="Y26" s="13">
        <f>_xll.BDH("XOM US Equity","OTHER_ADJUSTMENTS","FQ1 2004","FQ1 2004","Currency=USD","Period=FQ","BEST_FPERIOD_OVERRIDE=FQ","FILING_STATUS=OR","SCALING_FORMAT=MLN","Sort=A","Dates=H","DateFormat=P","Fill=—","Direction=H","UseDPDF=Y")</f>
        <v>0</v>
      </c>
      <c r="Z26" s="13">
        <f>_xll.BDH("XOM US Equity","OTHER_ADJUSTMENTS","FQ2 2004","FQ2 2004","Currency=USD","Period=FQ","BEST_FPERIOD_OVERRIDE=FQ","FILING_STATUS=OR","SCALING_FORMAT=MLN","Sort=A","Dates=H","DateFormat=P","Fill=—","Direction=H","UseDPDF=Y")</f>
        <v>0</v>
      </c>
      <c r="AA26" s="13">
        <f>_xll.BDH("XOM US Equity","OTHER_ADJUSTMENTS","FQ3 2004","FQ3 2004","Currency=USD","Period=FQ","BEST_FPERIOD_OVERRIDE=FQ","FILING_STATUS=OR","SCALING_FORMAT=MLN","Sort=A","Dates=H","DateFormat=P","Fill=—","Direction=H","UseDPDF=Y")</f>
        <v>0</v>
      </c>
      <c r="AB26" s="13">
        <f>_xll.BDH("XOM US Equity","OTHER_ADJUSTMENTS","FQ4 2004","FQ4 2004","Currency=USD","Period=FQ","BEST_FPERIOD_OVERRIDE=FQ","FILING_STATUS=OR","SCALING_FORMAT=MLN","Sort=A","Dates=H","DateFormat=P","Fill=—","Direction=H","UseDPDF=Y")</f>
        <v>0</v>
      </c>
      <c r="AC26" s="13">
        <f>_xll.BDH("XOM US Equity","OTHER_ADJUSTMENTS","FQ1 2005","FQ1 2005","Currency=USD","Period=FQ","BEST_FPERIOD_OVERRIDE=FQ","FILING_STATUS=OR","SCALING_FORMAT=MLN","Sort=A","Dates=H","DateFormat=P","Fill=—","Direction=H","UseDPDF=Y")</f>
        <v>0</v>
      </c>
      <c r="AD26" s="13">
        <f>_xll.BDH("XOM US Equity","OTHER_ADJUSTMENTS","FQ2 2005","FQ2 2005","Currency=USD","Period=FQ","BEST_FPERIOD_OVERRIDE=FQ","FILING_STATUS=OR","SCALING_FORMAT=MLN","Sort=A","Dates=H","DateFormat=P","Fill=—","Direction=H","UseDPDF=Y")</f>
        <v>0</v>
      </c>
      <c r="AE26" s="13">
        <f>_xll.BDH("XOM US Equity","OTHER_ADJUSTMENTS","FQ3 2005","FQ3 2005","Currency=USD","Period=FQ","BEST_FPERIOD_OVERRIDE=FQ","FILING_STATUS=OR","SCALING_FORMAT=MLN","Sort=A","Dates=H","DateFormat=P","Fill=—","Direction=H","UseDPDF=Y")</f>
        <v>0</v>
      </c>
      <c r="AF26" s="13">
        <f>_xll.BDH("XOM US Equity","OTHER_ADJUSTMENTS","FQ4 2005","FQ4 2005","Currency=USD","Period=FQ","BEST_FPERIOD_OVERRIDE=FQ","FILING_STATUS=OR","SCALING_FORMAT=MLN","Sort=A","Dates=H","DateFormat=P","Fill=—","Direction=H","UseDPDF=Y")</f>
        <v>0</v>
      </c>
      <c r="AG26" s="13" t="str">
        <f>_xll.BDH("XOM US Equity","OTHER_ADJUSTMENTS","FQ1 2006","FQ1 2006","Currency=USD","Period=FQ","BEST_FPERIOD_OVERRIDE=FQ","FILING_STATUS=OR","SCALING_FORMAT=MLN","Sort=A","Dates=H","DateFormat=P","Fill=—","Direction=H","UseDPDF=Y")</f>
        <v>—</v>
      </c>
      <c r="AH26" s="13" t="str">
        <f>_xll.BDH("XOM US Equity","OTHER_ADJUSTMENTS","FQ2 2006","FQ2 2006","Currency=USD","Period=FQ","BEST_FPERIOD_OVERRIDE=FQ","FILING_STATUS=OR","SCALING_FORMAT=MLN","Sort=A","Dates=H","DateFormat=P","Fill=—","Direction=H","UseDPDF=Y")</f>
        <v>—</v>
      </c>
      <c r="AI26" s="13" t="str">
        <f>_xll.BDH("XOM US Equity","OTHER_ADJUSTMENTS","FQ3 2006","FQ3 2006","Currency=USD","Period=FQ","BEST_FPERIOD_OVERRIDE=FQ","FILING_STATUS=OR","SCALING_FORMAT=MLN","Sort=A","Dates=H","DateFormat=P","Fill=—","Direction=H","UseDPDF=Y")</f>
        <v>—</v>
      </c>
      <c r="AJ26" s="13">
        <f>_xll.BDH("XOM US Equity","OTHER_ADJUSTMENTS","FQ4 2006","FQ4 2006","Currency=USD","Period=FQ","BEST_FPERIOD_OVERRIDE=FQ","FILING_STATUS=OR","SCALING_FORMAT=MLN","Sort=A","Dates=H","DateFormat=P","Fill=—","Direction=H","UseDPDF=Y")</f>
        <v>0</v>
      </c>
      <c r="AK26" s="13">
        <f>_xll.BDH("XOM US Equity","OTHER_ADJUSTMENTS","FQ1 2007","FQ1 2007","Currency=USD","Period=FQ","BEST_FPERIOD_OVERRIDE=FQ","FILING_STATUS=OR","SCALING_FORMAT=MLN","Sort=A","Dates=H","DateFormat=P","Fill=—","Direction=H","UseDPDF=Y")</f>
        <v>0</v>
      </c>
      <c r="AL26" s="13">
        <f>_xll.BDH("XOM US Equity","OTHER_ADJUSTMENTS","FQ2 2007","FQ2 2007","Currency=USD","Period=FQ","BEST_FPERIOD_OVERRIDE=FQ","FILING_STATUS=OR","SCALING_FORMAT=MLN","Sort=A","Dates=H","DateFormat=P","Fill=—","Direction=H","UseDPDF=Y")</f>
        <v>0</v>
      </c>
      <c r="AM26" s="13">
        <f>_xll.BDH("XOM US Equity","OTHER_ADJUSTMENTS","FQ3 2007","FQ3 2007","Currency=USD","Period=FQ","BEST_FPERIOD_OVERRIDE=FQ","FILING_STATUS=OR","SCALING_FORMAT=MLN","Sort=A","Dates=H","DateFormat=P","Fill=—","Direction=H","UseDPDF=Y")</f>
        <v>0</v>
      </c>
      <c r="AN26" s="13">
        <f>_xll.BDH("XOM US Equity","OTHER_ADJUSTMENTS","FQ4 2007","FQ4 2007","Currency=USD","Period=FQ","BEST_FPERIOD_OVERRIDE=FQ","FILING_STATUS=OR","SCALING_FORMAT=MLN","Sort=A","Dates=H","DateFormat=P","Fill=—","Direction=H","UseDPDF=Y")</f>
        <v>0</v>
      </c>
      <c r="AO26" s="13">
        <f>_xll.BDH("XOM US Equity","OTHER_ADJUSTMENTS","FQ1 2008","FQ1 2008","Currency=USD","Period=FQ","BEST_FPERIOD_OVERRIDE=FQ","FILING_STATUS=OR","SCALING_FORMAT=MLN","Sort=A","Dates=H","DateFormat=P","Fill=—","Direction=H","UseDPDF=Y")</f>
        <v>0</v>
      </c>
      <c r="AP26" s="13">
        <f>_xll.BDH("XOM US Equity","OTHER_ADJUSTMENTS","FQ2 2008","FQ2 2008","Currency=USD","Period=FQ","BEST_FPERIOD_OVERRIDE=FQ","FILING_STATUS=OR","SCALING_FORMAT=MLN","Sort=A","Dates=H","DateFormat=P","Fill=—","Direction=H","UseDPDF=Y")</f>
        <v>0</v>
      </c>
    </row>
    <row r="27" spans="1:42" x14ac:dyDescent="0.25">
      <c r="A27" s="6" t="s">
        <v>127</v>
      </c>
      <c r="B27" s="6" t="s">
        <v>128</v>
      </c>
      <c r="C27" s="16">
        <f>_xll.BDH("XOM US Equity","EARN_FOR_COMMON","FQ3 1998","FQ3 1998","Currency=USD","Period=FQ","BEST_FPERIOD_OVERRIDE=FQ","FILING_STATUS=OR","SCALING_FORMAT=MLN","FA_ADJUSTED=GAAP","Sort=A","Dates=H","DateFormat=P","Fill=—","Direction=H","UseDPDF=Y")</f>
        <v>1397.5</v>
      </c>
      <c r="D27" s="16">
        <f>_xll.BDH("XOM US Equity","EARN_FOR_COMMON","FQ4 1998","FQ4 1998","Currency=USD","Period=FQ","BEST_FPERIOD_OVERRIDE=FQ","FILING_STATUS=OR","SCALING_FORMAT=MLN","FA_ADJUSTED=GAAP","Sort=A","Dates=H","DateFormat=P","Fill=—","Direction=H","UseDPDF=Y")</f>
        <v>1530</v>
      </c>
      <c r="E27" s="16">
        <f>_xll.BDH("XOM US Equity","EARN_FOR_COMMON","FQ1 1999","FQ1 1999","Currency=USD","Period=FQ","BEST_FPERIOD_OVERRIDE=FQ","FILING_STATUS=OR","SCALING_FORMAT=MLN","FA_ADJUSTED=GAAP","Sort=A","Dates=H","DateFormat=P","Fill=—","Direction=H","UseDPDF=Y")</f>
        <v>1018</v>
      </c>
      <c r="F27" s="16">
        <f>_xll.BDH("XOM US Equity","EARN_FOR_COMMON","FQ2 1999","FQ2 1999","Currency=USD","Period=FQ","BEST_FPERIOD_OVERRIDE=FQ","FILING_STATUS=OR","SCALING_FORMAT=MLN","FA_ADJUSTED=GAAP","Sort=A","Dates=H","DateFormat=P","Fill=—","Direction=H","UseDPDF=Y")</f>
        <v>1204</v>
      </c>
      <c r="G27" s="16">
        <f>_xll.BDH("XOM US Equity","EARN_FOR_COMMON","FQ3 1999","FQ3 1999","Currency=USD","Period=FQ","BEST_FPERIOD_OVERRIDE=FQ","FILING_STATUS=OR","SCALING_FORMAT=MLN","FA_ADJUSTED=GAAP","Sort=A","Dates=H","DateFormat=P","Fill=—","Direction=H","UseDPDF=Y")</f>
        <v>1500</v>
      </c>
      <c r="H27" s="16">
        <f>_xll.BDH("XOM US Equity","EARN_FOR_COMMON","FQ4 1999","FQ4 1999","Currency=USD","Period=FQ","BEST_FPERIOD_OVERRIDE=FQ","FILING_STATUS=OR","SCALING_FORMAT=MLN","FA_ADJUSTED=GAAP","Sort=A","Dates=H","DateFormat=P","Fill=—","Direction=H","UseDPDF=Y")</f>
        <v>4185</v>
      </c>
      <c r="I27" s="16">
        <f>_xll.BDH("XOM US Equity","EARN_FOR_COMMON","FQ1 2000","FQ1 2000","Currency=USD","Period=FQ","BEST_FPERIOD_OVERRIDE=FQ","FILING_STATUS=OR","SCALING_FORMAT=MLN","FA_ADJUSTED=GAAP","Sort=A","Dates=H","DateFormat=P","Fill=—","Direction=H","UseDPDF=Y")</f>
        <v>3480</v>
      </c>
      <c r="J27" s="16">
        <f>_xll.BDH("XOM US Equity","EARN_FOR_COMMON","FQ2 2000","FQ2 2000","Currency=USD","Period=FQ","BEST_FPERIOD_OVERRIDE=FQ","FILING_STATUS=OR","SCALING_FORMAT=MLN","FA_ADJUSTED=GAAP","Sort=A","Dates=H","DateFormat=P","Fill=—","Direction=H","UseDPDF=Y")</f>
        <v>4530</v>
      </c>
      <c r="K27" s="16">
        <f>_xll.BDH("XOM US Equity","EARN_FOR_COMMON","FQ3 2000","FQ3 2000","Currency=USD","Period=FQ","BEST_FPERIOD_OVERRIDE=FQ","FILING_STATUS=OR","SCALING_FORMAT=MLN","FA_ADJUSTED=GAAP","Sort=A","Dates=H","DateFormat=P","Fill=—","Direction=H","UseDPDF=Y")</f>
        <v>4490</v>
      </c>
      <c r="L27" s="16">
        <f>_xll.BDH("XOM US Equity","EARN_FOR_COMMON","FQ4 2000","FQ4 2000","Currency=USD","Period=FQ","BEST_FPERIOD_OVERRIDE=FQ","FILING_STATUS=OR","SCALING_FORMAT=MLN","FA_ADJUSTED=GAAP","Sort=A","Dates=H","DateFormat=P","Fill=—","Direction=H","UseDPDF=Y")</f>
        <v>5220</v>
      </c>
      <c r="M27" s="16">
        <f>_xll.BDH("XOM US Equity","EARN_FOR_COMMON","FQ1 2001","FQ1 2001","Currency=USD","Period=FQ","BEST_FPERIOD_OVERRIDE=FQ","FILING_STATUS=OR","SCALING_FORMAT=MLN","FA_ADJUSTED=GAAP","Sort=A","Dates=H","DateFormat=P","Fill=—","Direction=H","UseDPDF=Y")</f>
        <v>5000</v>
      </c>
      <c r="N27" s="16">
        <f>_xll.BDH("XOM US Equity","EARN_FOR_COMMON","FQ2 2001","FQ2 2001","Currency=USD","Period=FQ","BEST_FPERIOD_OVERRIDE=FQ","FILING_STATUS=OR","SCALING_FORMAT=MLN","FA_ADJUSTED=GAAP","Sort=A","Dates=H","DateFormat=P","Fill=—","Direction=H","UseDPDF=Y")</f>
        <v>4460</v>
      </c>
      <c r="O27" s="16">
        <f>_xll.BDH("XOM US Equity","EARN_FOR_COMMON","FQ3 2001","FQ3 2001","Currency=USD","Period=FQ","BEST_FPERIOD_OVERRIDE=FQ","FILING_STATUS=OR","SCALING_FORMAT=MLN","FA_ADJUSTED=GAAP","Sort=A","Dates=H","DateFormat=P","Fill=—","Direction=H","UseDPDF=Y")</f>
        <v>3180</v>
      </c>
      <c r="P27" s="16">
        <f>_xll.BDH("XOM US Equity","EARN_FOR_COMMON","FQ4 2001","FQ4 2001","Currency=USD","Period=FQ","BEST_FPERIOD_OVERRIDE=FQ","FILING_STATUS=OR","SCALING_FORMAT=MLN","FA_ADJUSTED=GAAP","Sort=A","Dates=H","DateFormat=P","Fill=—","Direction=H","UseDPDF=Y")</f>
        <v>2680</v>
      </c>
      <c r="Q27" s="16">
        <f>_xll.BDH("XOM US Equity","EARN_FOR_COMMON","FQ1 2002","FQ1 2002","Currency=USD","Period=FQ","BEST_FPERIOD_OVERRIDE=FQ","FILING_STATUS=OR","SCALING_FORMAT=MLN","FA_ADJUSTED=GAAP","Sort=A","Dates=H","DateFormat=P","Fill=—","Direction=H","UseDPDF=Y")</f>
        <v>2090</v>
      </c>
      <c r="R27" s="16">
        <f>_xll.BDH("XOM US Equity","EARN_FOR_COMMON","FQ2 2002","FQ2 2002","Currency=USD","Period=FQ","BEST_FPERIOD_OVERRIDE=FQ","FILING_STATUS=OR","SCALING_FORMAT=MLN","FA_ADJUSTED=GAAP","Sort=A","Dates=H","DateFormat=P","Fill=—","Direction=H","UseDPDF=Y")</f>
        <v>2640</v>
      </c>
      <c r="S27" s="16">
        <f>_xll.BDH("XOM US Equity","EARN_FOR_COMMON","FQ3 2002","FQ3 2002","Currency=USD","Period=FQ","BEST_FPERIOD_OVERRIDE=FQ","FILING_STATUS=OR","SCALING_FORMAT=MLN","FA_ADJUSTED=GAAP","Sort=A","Dates=H","DateFormat=P","Fill=—","Direction=H","UseDPDF=Y")</f>
        <v>2640</v>
      </c>
      <c r="T27" s="16">
        <f>_xll.BDH("XOM US Equity","EARN_FOR_COMMON","FQ4 2002","FQ4 2002","Currency=USD","Period=FQ","BEST_FPERIOD_OVERRIDE=FQ","FILING_STATUS=OR","SCALING_FORMAT=MLN","FA_ADJUSTED=GAAP","Sort=A","Dates=H","DateFormat=P","Fill=—","Direction=H","UseDPDF=Y")</f>
        <v>4090</v>
      </c>
      <c r="U27" s="16">
        <f>_xll.BDH("XOM US Equity","EARN_FOR_COMMON","FQ1 2003","FQ1 2003","Currency=USD","Period=FQ","BEST_FPERIOD_OVERRIDE=FQ","FILING_STATUS=OR","SCALING_FORMAT=MLN","FA_ADJUSTED=GAAP","Sort=A","Dates=H","DateFormat=P","Fill=—","Direction=H","UseDPDF=Y")</f>
        <v>7040</v>
      </c>
      <c r="V27" s="16">
        <f>_xll.BDH("XOM US Equity","EARN_FOR_COMMON","FQ2 2003","FQ2 2003","Currency=USD","Period=FQ","BEST_FPERIOD_OVERRIDE=FQ","FILING_STATUS=OR","SCALING_FORMAT=MLN","FA_ADJUSTED=GAAP","Sort=A","Dates=H","DateFormat=P","Fill=—","Direction=H","UseDPDF=Y")</f>
        <v>4170</v>
      </c>
      <c r="W27" s="16">
        <f>_xll.BDH("XOM US Equity","EARN_FOR_COMMON","FQ3 2003","FQ3 2003","Currency=USD","Period=FQ","BEST_FPERIOD_OVERRIDE=FQ","FILING_STATUS=OR","SCALING_FORMAT=MLN","FA_ADJUSTED=GAAP","Sort=A","Dates=H","DateFormat=P","Fill=—","Direction=H","UseDPDF=Y")</f>
        <v>3650</v>
      </c>
      <c r="X27" s="16">
        <f>_xll.BDH("XOM US Equity","EARN_FOR_COMMON","FQ4 2003","FQ4 2003","Currency=USD","Period=FQ","BEST_FPERIOD_OVERRIDE=FQ","FILING_STATUS=OR","SCALING_FORMAT=MLN","FA_ADJUSTED=GAAP","Sort=A","Dates=H","DateFormat=P","Fill=—","Direction=H","UseDPDF=Y")</f>
        <v>6650</v>
      </c>
      <c r="Y27" s="16">
        <f>_xll.BDH("XOM US Equity","EARN_FOR_COMMON","FQ1 2004","FQ1 2004","Currency=USD","Period=FQ","BEST_FPERIOD_OVERRIDE=FQ","FILING_STATUS=OR","SCALING_FORMAT=MLN","FA_ADJUSTED=GAAP","Sort=A","Dates=H","DateFormat=P","Fill=—","Direction=H","UseDPDF=Y")</f>
        <v>5440</v>
      </c>
      <c r="Z27" s="16">
        <f>_xll.BDH("XOM US Equity","EARN_FOR_COMMON","FQ2 2004","FQ2 2004","Currency=USD","Period=FQ","BEST_FPERIOD_OVERRIDE=FQ","FILING_STATUS=OR","SCALING_FORMAT=MLN","FA_ADJUSTED=GAAP","Sort=A","Dates=H","DateFormat=P","Fill=—","Direction=H","UseDPDF=Y")</f>
        <v>5790</v>
      </c>
      <c r="AA27" s="16">
        <f>_xll.BDH("XOM US Equity","EARN_FOR_COMMON","FQ3 2004","FQ3 2004","Currency=USD","Period=FQ","BEST_FPERIOD_OVERRIDE=FQ","FILING_STATUS=OR","SCALING_FORMAT=MLN","FA_ADJUSTED=GAAP","Sort=A","Dates=H","DateFormat=P","Fill=—","Direction=H","UseDPDF=Y")</f>
        <v>5680</v>
      </c>
      <c r="AB27" s="16">
        <f>_xll.BDH("XOM US Equity","EARN_FOR_COMMON","FQ4 2004","FQ4 2004","Currency=USD","Period=FQ","BEST_FPERIOD_OVERRIDE=FQ","FILING_STATUS=OR","SCALING_FORMAT=MLN","FA_ADJUSTED=GAAP","Sort=A","Dates=H","DateFormat=P","Fill=—","Direction=H","UseDPDF=Y")</f>
        <v>8420</v>
      </c>
      <c r="AC27" s="16">
        <f>_xll.BDH("XOM US Equity","EARN_FOR_COMMON","FQ1 2005","FQ1 2005","Currency=USD","Period=FQ","BEST_FPERIOD_OVERRIDE=FQ","FILING_STATUS=OR","SCALING_FORMAT=MLN","FA_ADJUSTED=GAAP","Sort=A","Dates=H","DateFormat=P","Fill=—","Direction=H","UseDPDF=Y")</f>
        <v>7860</v>
      </c>
      <c r="AD27" s="16">
        <f>_xll.BDH("XOM US Equity","EARN_FOR_COMMON","FQ2 2005","FQ2 2005","Currency=USD","Period=FQ","BEST_FPERIOD_OVERRIDE=FQ","FILING_STATUS=OR","SCALING_FORMAT=MLN","FA_ADJUSTED=GAAP","Sort=A","Dates=H","DateFormat=P","Fill=—","Direction=H","UseDPDF=Y")</f>
        <v>7640</v>
      </c>
      <c r="AE27" s="16">
        <f>_xll.BDH("XOM US Equity","EARN_FOR_COMMON","FQ3 2005","FQ3 2005","Currency=USD","Period=FQ","BEST_FPERIOD_OVERRIDE=FQ","FILING_STATUS=OR","SCALING_FORMAT=MLN","FA_ADJUSTED=GAAP","Sort=A","Dates=H","DateFormat=P","Fill=—","Direction=H","UseDPDF=Y")</f>
        <v>9920</v>
      </c>
      <c r="AF27" s="16">
        <f>_xll.BDH("XOM US Equity","EARN_FOR_COMMON","FQ4 2005","FQ4 2005","Currency=USD","Period=FQ","BEST_FPERIOD_OVERRIDE=FQ","FILING_STATUS=OR","SCALING_FORMAT=MLN","FA_ADJUSTED=GAAP","Sort=A","Dates=H","DateFormat=P","Fill=—","Direction=H","UseDPDF=Y")</f>
        <v>10710</v>
      </c>
      <c r="AG27" s="16">
        <f>_xll.BDH("XOM US Equity","EARN_FOR_COMMON","FQ1 2006","FQ1 2006","Currency=USD","Period=FQ","BEST_FPERIOD_OVERRIDE=FQ","FILING_STATUS=OR","SCALING_FORMAT=MLN","FA_ADJUSTED=GAAP","Sort=A","Dates=H","DateFormat=P","Fill=—","Direction=H","UseDPDF=Y")</f>
        <v>8400</v>
      </c>
      <c r="AH27" s="16">
        <f>_xll.BDH("XOM US Equity","EARN_FOR_COMMON","FQ2 2006","FQ2 2006","Currency=USD","Period=FQ","BEST_FPERIOD_OVERRIDE=FQ","FILING_STATUS=OR","SCALING_FORMAT=MLN","FA_ADJUSTED=GAAP","Sort=A","Dates=H","DateFormat=P","Fill=—","Direction=H","UseDPDF=Y")</f>
        <v>10360</v>
      </c>
      <c r="AI27" s="16">
        <f>_xll.BDH("XOM US Equity","EARN_FOR_COMMON","FQ3 2006","FQ3 2006","Currency=USD","Period=FQ","BEST_FPERIOD_OVERRIDE=FQ","FILING_STATUS=OR","SCALING_FORMAT=MLN","FA_ADJUSTED=GAAP","Sort=A","Dates=H","DateFormat=P","Fill=—","Direction=H","UseDPDF=Y")</f>
        <v>10490</v>
      </c>
      <c r="AJ27" s="16">
        <f>_xll.BDH("XOM US Equity","EARN_FOR_COMMON","FQ4 2006","FQ4 2006","Currency=USD","Period=FQ","BEST_FPERIOD_OVERRIDE=FQ","FILING_STATUS=OR","SCALING_FORMAT=MLN","FA_ADJUSTED=GAAP","Sort=A","Dates=H","DateFormat=P","Fill=—","Direction=H","UseDPDF=Y")</f>
        <v>10250</v>
      </c>
      <c r="AK27" s="16">
        <f>_xll.BDH("XOM US Equity","EARN_FOR_COMMON","FQ1 2007","FQ1 2007","Currency=USD","Period=FQ","BEST_FPERIOD_OVERRIDE=FQ","FILING_STATUS=OR","SCALING_FORMAT=MLN","FA_ADJUSTED=GAAP","Sort=A","Dates=H","DateFormat=P","Fill=—","Direction=H","UseDPDF=Y")</f>
        <v>9280</v>
      </c>
      <c r="AL27" s="16">
        <f>_xll.BDH("XOM US Equity","EARN_FOR_COMMON","FQ2 2007","FQ2 2007","Currency=USD","Period=FQ","BEST_FPERIOD_OVERRIDE=FQ","FILING_STATUS=OR","SCALING_FORMAT=MLN","FA_ADJUSTED=GAAP","Sort=A","Dates=H","DateFormat=P","Fill=—","Direction=H","UseDPDF=Y")</f>
        <v>10260</v>
      </c>
      <c r="AM27" s="16">
        <f>_xll.BDH("XOM US Equity","EARN_FOR_COMMON","FQ3 2007","FQ3 2007","Currency=USD","Period=FQ","BEST_FPERIOD_OVERRIDE=FQ","FILING_STATUS=OR","SCALING_FORMAT=MLN","FA_ADJUSTED=GAAP","Sort=A","Dates=H","DateFormat=P","Fill=—","Direction=H","UseDPDF=Y")</f>
        <v>9410</v>
      </c>
      <c r="AN27" s="16">
        <f>_xll.BDH("XOM US Equity","EARN_FOR_COMMON","FQ4 2007","FQ4 2007","Currency=USD","Period=FQ","BEST_FPERIOD_OVERRIDE=FQ","FILING_STATUS=OR","SCALING_FORMAT=MLN","FA_ADJUSTED=GAAP","Sort=A","Dates=H","DateFormat=P","Fill=—","Direction=H","UseDPDF=Y")</f>
        <v>11660</v>
      </c>
      <c r="AO27" s="16">
        <f>_xll.BDH("XOM US Equity","EARN_FOR_COMMON","FQ1 2008","FQ1 2008","Currency=USD","Period=FQ","BEST_FPERIOD_OVERRIDE=FQ","FILING_STATUS=OR","SCALING_FORMAT=MLN","FA_ADJUSTED=GAAP","Sort=A","Dates=H","DateFormat=P","Fill=—","Direction=H","UseDPDF=Y")</f>
        <v>10890</v>
      </c>
      <c r="AP27" s="16">
        <f>_xll.BDH("XOM US Equity","EARN_FOR_COMMON","FQ2 2008","FQ2 2008","Currency=USD","Period=FQ","BEST_FPERIOD_OVERRIDE=FQ","FILING_STATUS=OR","SCALING_FORMAT=MLN","FA_ADJUSTED=GAAP","Sort=A","Dates=H","DateFormat=P","Fill=—","Direction=H","UseDPDF=Y")</f>
        <v>11680</v>
      </c>
    </row>
    <row r="28" spans="1:42" x14ac:dyDescent="0.25">
      <c r="A28" s="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x14ac:dyDescent="0.25">
      <c r="A29" s="6" t="s">
        <v>129</v>
      </c>
      <c r="B29" s="6" t="s">
        <v>128</v>
      </c>
      <c r="C29" s="16">
        <f>_xll.BDH("XOM US Equity","EARN_FOR_COMMON","FQ3 1998","FQ3 1998","Currency=USD","Period=FQ","BEST_FPERIOD_OVERRIDE=FQ","FILING_STATUS=OR","SCALING_FORMAT=MLN","FA_ADJUSTED=Adjusted","Sort=A","Dates=H","DateFormat=P","Fill=—","Direction=H","UseDPDF=Y")</f>
        <v>1397.5</v>
      </c>
      <c r="D29" s="16">
        <f>_xll.BDH("XOM US Equity","EARN_FOR_COMMON","FQ4 1998","FQ4 1998","Currency=USD","Period=FQ","BEST_FPERIOD_OVERRIDE=FQ","FILING_STATUS=OR","SCALING_FORMAT=MLN","FA_ADJUSTED=Adjusted","Sort=A","Dates=H","DateFormat=P","Fill=—","Direction=H","UseDPDF=Y")</f>
        <v>1530</v>
      </c>
      <c r="E29" s="16">
        <f>_xll.BDH("XOM US Equity","EARN_FOR_COMMON","FQ1 1999","FQ1 1999","Currency=USD","Period=FQ","BEST_FPERIOD_OVERRIDE=FQ","FILING_STATUS=OR","SCALING_FORMAT=MLN","FA_ADJUSTED=Adjusted","Sort=A","Dates=H","DateFormat=P","Fill=—","Direction=H","UseDPDF=Y")</f>
        <v>1018</v>
      </c>
      <c r="F29" s="16">
        <f>_xll.BDH("XOM US Equity","EARN_FOR_COMMON","FQ2 1999","FQ2 1999","Currency=USD","Period=FQ","BEST_FPERIOD_OVERRIDE=FQ","FILING_STATUS=OR","SCALING_FORMAT=MLN","FA_ADJUSTED=Adjusted","Sort=A","Dates=H","DateFormat=P","Fill=—","Direction=H","UseDPDF=Y")</f>
        <v>1204</v>
      </c>
      <c r="G29" s="16">
        <f>_xll.BDH("XOM US Equity","EARN_FOR_COMMON","FQ3 1999","FQ3 1999","Currency=USD","Period=FQ","BEST_FPERIOD_OVERRIDE=FQ","FILING_STATUS=OR","SCALING_FORMAT=MLN","FA_ADJUSTED=Adjusted","Sort=A","Dates=H","DateFormat=P","Fill=—","Direction=H","UseDPDF=Y")</f>
        <v>1500</v>
      </c>
      <c r="H29" s="16">
        <f>_xll.BDH("XOM US Equity","EARN_FOR_COMMON","FQ4 1999","FQ4 1999","Currency=USD","Period=FQ","BEST_FPERIOD_OVERRIDE=FQ","FILING_STATUS=OR","SCALING_FORMAT=MLN","FA_ADJUSTED=Adjusted","Sort=A","Dates=H","DateFormat=P","Fill=—","Direction=H","UseDPDF=Y")</f>
        <v>4185</v>
      </c>
      <c r="I29" s="16">
        <f>_xll.BDH("XOM US Equity","EARN_FOR_COMMON","FQ1 2000","FQ1 2000","Currency=USD","Period=FQ","BEST_FPERIOD_OVERRIDE=FQ","FILING_STATUS=OR","SCALING_FORMAT=MLN","FA_ADJUSTED=Adjusted","Sort=A","Dates=H","DateFormat=P","Fill=—","Direction=H","UseDPDF=Y")</f>
        <v>3480</v>
      </c>
      <c r="J29" s="16">
        <f>_xll.BDH("XOM US Equity","EARN_FOR_COMMON","FQ2 2000","FQ2 2000","Currency=USD","Period=FQ","BEST_FPERIOD_OVERRIDE=FQ","FILING_STATUS=OR","SCALING_FORMAT=MLN","FA_ADJUSTED=Adjusted","Sort=A","Dates=H","DateFormat=P","Fill=—","Direction=H","UseDPDF=Y")</f>
        <v>4530</v>
      </c>
      <c r="K29" s="16">
        <f>_xll.BDH("XOM US Equity","EARN_FOR_COMMON","FQ3 2000","FQ3 2000","Currency=USD","Period=FQ","BEST_FPERIOD_OVERRIDE=FQ","FILING_STATUS=OR","SCALING_FORMAT=MLN","FA_ADJUSTED=Adjusted","Sort=A","Dates=H","DateFormat=P","Fill=—","Direction=H","UseDPDF=Y")</f>
        <v>4490</v>
      </c>
      <c r="L29" s="16">
        <f>_xll.BDH("XOM US Equity","EARN_FOR_COMMON","FQ4 2000","FQ4 2000","Currency=USD","Period=FQ","BEST_FPERIOD_OVERRIDE=FQ","FILING_STATUS=OR","SCALING_FORMAT=MLN","FA_ADJUSTED=Adjusted","Sort=A","Dates=H","DateFormat=P","Fill=—","Direction=H","UseDPDF=Y")</f>
        <v>5220</v>
      </c>
      <c r="M29" s="16">
        <f>_xll.BDH("XOM US Equity","EARN_FOR_COMMON","FQ1 2001","FQ1 2001","Currency=USD","Period=FQ","BEST_FPERIOD_OVERRIDE=FQ","FILING_STATUS=OR","SCALING_FORMAT=MLN","FA_ADJUSTED=Adjusted","Sort=A","Dates=H","DateFormat=P","Fill=—","Direction=H","UseDPDF=Y")</f>
        <v>5000</v>
      </c>
      <c r="N29" s="16">
        <f>_xll.BDH("XOM US Equity","EARN_FOR_COMMON","FQ2 2001","FQ2 2001","Currency=USD","Period=FQ","BEST_FPERIOD_OVERRIDE=FQ","FILING_STATUS=OR","SCALING_FORMAT=MLN","FA_ADJUSTED=Adjusted","Sort=A","Dates=H","DateFormat=P","Fill=—","Direction=H","UseDPDF=Y")</f>
        <v>4460</v>
      </c>
      <c r="O29" s="16">
        <f>_xll.BDH("XOM US Equity","EARN_FOR_COMMON","FQ3 2001","FQ3 2001","Currency=USD","Period=FQ","BEST_FPERIOD_OVERRIDE=FQ","FILING_STATUS=OR","SCALING_FORMAT=MLN","FA_ADJUSTED=Adjusted","Sort=A","Dates=H","DateFormat=P","Fill=—","Direction=H","UseDPDF=Y")</f>
        <v>3180</v>
      </c>
      <c r="P29" s="16">
        <f>_xll.BDH("XOM US Equity","EARN_FOR_COMMON","FQ4 2001","FQ4 2001","Currency=USD","Period=FQ","BEST_FPERIOD_OVERRIDE=FQ","FILING_STATUS=OR","SCALING_FORMAT=MLN","FA_ADJUSTED=Adjusted","Sort=A","Dates=H","DateFormat=P","Fill=—","Direction=H","UseDPDF=Y")</f>
        <v>2680</v>
      </c>
      <c r="Q29" s="16">
        <f>_xll.BDH("XOM US Equity","EARN_FOR_COMMON","FQ1 2002","FQ1 2002","Currency=USD","Period=FQ","BEST_FPERIOD_OVERRIDE=FQ","FILING_STATUS=OR","SCALING_FORMAT=MLN","FA_ADJUSTED=Adjusted","Sort=A","Dates=H","DateFormat=P","Fill=—","Direction=H","UseDPDF=Y")</f>
        <v>2090</v>
      </c>
      <c r="R29" s="16">
        <f>_xll.BDH("XOM US Equity","EARN_FOR_COMMON","FQ2 2002","FQ2 2002","Currency=USD","Period=FQ","BEST_FPERIOD_OVERRIDE=FQ","FILING_STATUS=OR","SCALING_FORMAT=MLN","FA_ADJUSTED=Adjusted","Sort=A","Dates=H","DateFormat=P","Fill=—","Direction=H","UseDPDF=Y")</f>
        <v>2640</v>
      </c>
      <c r="S29" s="16">
        <f>_xll.BDH("XOM US Equity","EARN_FOR_COMMON","FQ3 2002","FQ3 2002","Currency=USD","Period=FQ","BEST_FPERIOD_OVERRIDE=FQ","FILING_STATUS=OR","SCALING_FORMAT=MLN","FA_ADJUSTED=Adjusted","Sort=A","Dates=H","DateFormat=P","Fill=—","Direction=H","UseDPDF=Y")</f>
        <v>2640</v>
      </c>
      <c r="T29" s="16">
        <f>_xll.BDH("XOM US Equity","EARN_FOR_COMMON","FQ4 2002","FQ4 2002","Currency=USD","Period=FQ","BEST_FPERIOD_OVERRIDE=FQ","FILING_STATUS=OR","SCALING_FORMAT=MLN","FA_ADJUSTED=Adjusted","Sort=A","Dates=H","DateFormat=P","Fill=—","Direction=H","UseDPDF=Y")</f>
        <v>4090</v>
      </c>
      <c r="U29" s="16">
        <f>_xll.BDH("XOM US Equity","EARN_FOR_COMMON","FQ1 2003","FQ1 2003","Currency=USD","Period=FQ","BEST_FPERIOD_OVERRIDE=FQ","FILING_STATUS=OR","SCALING_FORMAT=MLN","FA_ADJUSTED=Adjusted","Sort=A","Dates=H","DateFormat=P","Fill=—","Direction=H","UseDPDF=Y")</f>
        <v>7040</v>
      </c>
      <c r="V29" s="16">
        <f>_xll.BDH("XOM US Equity","EARN_FOR_COMMON","FQ2 2003","FQ2 2003","Currency=USD","Period=FQ","BEST_FPERIOD_OVERRIDE=FQ","FILING_STATUS=OR","SCALING_FORMAT=MLN","FA_ADJUSTED=Adjusted","Sort=A","Dates=H","DateFormat=P","Fill=—","Direction=H","UseDPDF=Y")</f>
        <v>4170</v>
      </c>
      <c r="W29" s="16">
        <f>_xll.BDH("XOM US Equity","EARN_FOR_COMMON","FQ3 2003","FQ3 2003","Currency=USD","Period=FQ","BEST_FPERIOD_OVERRIDE=FQ","FILING_STATUS=OR","SCALING_FORMAT=MLN","FA_ADJUSTED=Adjusted","Sort=A","Dates=H","DateFormat=P","Fill=—","Direction=H","UseDPDF=Y")</f>
        <v>3650</v>
      </c>
      <c r="X29" s="16">
        <f>_xll.BDH("XOM US Equity","EARN_FOR_COMMON","FQ4 2003","FQ4 2003","Currency=USD","Period=FQ","BEST_FPERIOD_OVERRIDE=FQ","FILING_STATUS=OR","SCALING_FORMAT=MLN","FA_ADJUSTED=Adjusted","Sort=A","Dates=H","DateFormat=P","Fill=—","Direction=H","UseDPDF=Y")</f>
        <v>6650</v>
      </c>
      <c r="Y29" s="16">
        <f>_xll.BDH("XOM US Equity","EARN_FOR_COMMON","FQ1 2004","FQ1 2004","Currency=USD","Period=FQ","BEST_FPERIOD_OVERRIDE=FQ","FILING_STATUS=OR","SCALING_FORMAT=MLN","FA_ADJUSTED=Adjusted","Sort=A","Dates=H","DateFormat=P","Fill=—","Direction=H","UseDPDF=Y")</f>
        <v>5440</v>
      </c>
      <c r="Z29" s="16">
        <f>_xll.BDH("XOM US Equity","EARN_FOR_COMMON","FQ2 2004","FQ2 2004","Currency=USD","Period=FQ","BEST_FPERIOD_OVERRIDE=FQ","FILING_STATUS=OR","SCALING_FORMAT=MLN","FA_ADJUSTED=Adjusted","Sort=A","Dates=H","DateFormat=P","Fill=—","Direction=H","UseDPDF=Y")</f>
        <v>5790</v>
      </c>
      <c r="AA29" s="16">
        <f>_xll.BDH("XOM US Equity","EARN_FOR_COMMON","FQ3 2004","FQ3 2004","Currency=USD","Period=FQ","BEST_FPERIOD_OVERRIDE=FQ","FILING_STATUS=OR","SCALING_FORMAT=MLN","FA_ADJUSTED=Adjusted","Sort=A","Dates=H","DateFormat=P","Fill=—","Direction=H","UseDPDF=Y")</f>
        <v>5680</v>
      </c>
      <c r="AB29" s="16">
        <f>_xll.BDH("XOM US Equity","EARN_FOR_COMMON","FQ4 2004","FQ4 2004","Currency=USD","Period=FQ","BEST_FPERIOD_OVERRIDE=FQ","FILING_STATUS=OR","SCALING_FORMAT=MLN","FA_ADJUSTED=Adjusted","Sort=A","Dates=H","DateFormat=P","Fill=—","Direction=H","UseDPDF=Y")</f>
        <v>8420</v>
      </c>
      <c r="AC29" s="16">
        <f>_xll.BDH("XOM US Equity","EARN_FOR_COMMON","FQ1 2005","FQ1 2005","Currency=USD","Period=FQ","BEST_FPERIOD_OVERRIDE=FQ","FILING_STATUS=OR","SCALING_FORMAT=MLN","FA_ADJUSTED=Adjusted","Sort=A","Dates=H","DateFormat=P","Fill=—","Direction=H","UseDPDF=Y")</f>
        <v>7860</v>
      </c>
      <c r="AD29" s="16">
        <f>_xll.BDH("XOM US Equity","EARN_FOR_COMMON","FQ2 2005","FQ2 2005","Currency=USD","Period=FQ","BEST_FPERIOD_OVERRIDE=FQ","FILING_STATUS=OR","SCALING_FORMAT=MLN","FA_ADJUSTED=Adjusted","Sort=A","Dates=H","DateFormat=P","Fill=—","Direction=H","UseDPDF=Y")</f>
        <v>7640</v>
      </c>
      <c r="AE29" s="16">
        <f>_xll.BDH("XOM US Equity","EARN_FOR_COMMON","FQ3 2005","FQ3 2005","Currency=USD","Period=FQ","BEST_FPERIOD_OVERRIDE=FQ","FILING_STATUS=OR","SCALING_FORMAT=MLN","FA_ADJUSTED=Adjusted","Sort=A","Dates=H","DateFormat=P","Fill=—","Direction=H","UseDPDF=Y")</f>
        <v>9920</v>
      </c>
      <c r="AF29" s="16">
        <f>_xll.BDH("XOM US Equity","EARN_FOR_COMMON","FQ4 2005","FQ4 2005","Currency=USD","Period=FQ","BEST_FPERIOD_OVERRIDE=FQ","FILING_STATUS=OR","SCALING_FORMAT=MLN","FA_ADJUSTED=Adjusted","Sort=A","Dates=H","DateFormat=P","Fill=—","Direction=H","UseDPDF=Y")</f>
        <v>10710</v>
      </c>
      <c r="AG29" s="16">
        <f>_xll.BDH("XOM US Equity","EARN_FOR_COMMON","FQ1 2006","FQ1 2006","Currency=USD","Period=FQ","BEST_FPERIOD_OVERRIDE=FQ","FILING_STATUS=OR","SCALING_FORMAT=MLN","FA_ADJUSTED=Adjusted","Sort=A","Dates=H","DateFormat=P","Fill=—","Direction=H","UseDPDF=Y")</f>
        <v>8400</v>
      </c>
      <c r="AH29" s="16">
        <f>_xll.BDH("XOM US Equity","EARN_FOR_COMMON","FQ2 2006","FQ2 2006","Currency=USD","Period=FQ","BEST_FPERIOD_OVERRIDE=FQ","FILING_STATUS=OR","SCALING_FORMAT=MLN","FA_ADJUSTED=Adjusted","Sort=A","Dates=H","DateFormat=P","Fill=—","Direction=H","UseDPDF=Y")</f>
        <v>10360</v>
      </c>
      <c r="AI29" s="16">
        <f>_xll.BDH("XOM US Equity","EARN_FOR_COMMON","FQ3 2006","FQ3 2006","Currency=USD","Period=FQ","BEST_FPERIOD_OVERRIDE=FQ","FILING_STATUS=OR","SCALING_FORMAT=MLN","FA_ADJUSTED=Adjusted","Sort=A","Dates=H","DateFormat=P","Fill=—","Direction=H","UseDPDF=Y")</f>
        <v>10490</v>
      </c>
      <c r="AJ29" s="16">
        <f>_xll.BDH("XOM US Equity","EARN_FOR_COMMON","FQ4 2006","FQ4 2006","Currency=USD","Period=FQ","BEST_FPERIOD_OVERRIDE=FQ","FILING_STATUS=OR","SCALING_FORMAT=MLN","FA_ADJUSTED=Adjusted","Sort=A","Dates=H","DateFormat=P","Fill=—","Direction=H","UseDPDF=Y")</f>
        <v>10250</v>
      </c>
      <c r="AK29" s="16">
        <f>_xll.BDH("XOM US Equity","EARN_FOR_COMMON","FQ1 2007","FQ1 2007","Currency=USD","Period=FQ","BEST_FPERIOD_OVERRIDE=FQ","FILING_STATUS=OR","SCALING_FORMAT=MLN","FA_ADJUSTED=Adjusted","Sort=A","Dates=H","DateFormat=P","Fill=—","Direction=H","UseDPDF=Y")</f>
        <v>9280</v>
      </c>
      <c r="AL29" s="16">
        <f>_xll.BDH("XOM US Equity","EARN_FOR_COMMON","FQ2 2007","FQ2 2007","Currency=USD","Period=FQ","BEST_FPERIOD_OVERRIDE=FQ","FILING_STATUS=OR","SCALING_FORMAT=MLN","FA_ADJUSTED=Adjusted","Sort=A","Dates=H","DateFormat=P","Fill=—","Direction=H","UseDPDF=Y")</f>
        <v>10260</v>
      </c>
      <c r="AM29" s="16">
        <f>_xll.BDH("XOM US Equity","EARN_FOR_COMMON","FQ3 2007","FQ3 2007","Currency=USD","Period=FQ","BEST_FPERIOD_OVERRIDE=FQ","FILING_STATUS=OR","SCALING_FORMAT=MLN","FA_ADJUSTED=Adjusted","Sort=A","Dates=H","DateFormat=P","Fill=—","Direction=H","UseDPDF=Y")</f>
        <v>9410</v>
      </c>
      <c r="AN29" s="16">
        <f>_xll.BDH("XOM US Equity","EARN_FOR_COMMON","FQ4 2007","FQ4 2007","Currency=USD","Period=FQ","BEST_FPERIOD_OVERRIDE=FQ","FILING_STATUS=OR","SCALING_FORMAT=MLN","FA_ADJUSTED=Adjusted","Sort=A","Dates=H","DateFormat=P","Fill=—","Direction=H","UseDPDF=Y")</f>
        <v>11660</v>
      </c>
      <c r="AO29" s="16">
        <f>_xll.BDH("XOM US Equity","EARN_FOR_COMMON","FQ1 2008","FQ1 2008","Currency=USD","Period=FQ","BEST_FPERIOD_OVERRIDE=FQ","FILING_STATUS=OR","SCALING_FORMAT=MLN","FA_ADJUSTED=Adjusted","Sort=A","Dates=H","DateFormat=P","Fill=—","Direction=H","UseDPDF=Y")</f>
        <v>10890</v>
      </c>
      <c r="AP29" s="16">
        <f>_xll.BDH("XOM US Equity","EARN_FOR_COMMON","FQ2 2008","FQ2 2008","Currency=USD","Period=FQ","BEST_FPERIOD_OVERRIDE=FQ","FILING_STATUS=OR","SCALING_FORMAT=MLN","FA_ADJUSTED=Adjusted","Sort=A","Dates=H","DateFormat=P","Fill=—","Direction=H","UseDPDF=Y")</f>
        <v>11680</v>
      </c>
    </row>
    <row r="30" spans="1:42" x14ac:dyDescent="0.25">
      <c r="A30" s="10" t="s">
        <v>130</v>
      </c>
      <c r="B30" s="10" t="s">
        <v>131</v>
      </c>
      <c r="C30" s="13" t="str">
        <f>_xll.BDH("XOM US Equity","IS_NET_ABNORMAL_ITEMS","FQ3 1998","FQ3 1998","Currency=USD","Period=FQ","BEST_FPERIOD_OVERRIDE=FQ","FILING_STATUS=OR","SCALING_FORMAT=MLN","Sort=A","Dates=H","DateFormat=P","Fill=—","Direction=H","UseDPDF=Y")</f>
        <v>—</v>
      </c>
      <c r="D30" s="13" t="str">
        <f>_xll.BDH("XOM US Equity","IS_NET_ABNORMAL_ITEMS","FQ4 1998","FQ4 1998","Currency=USD","Period=FQ","BEST_FPERIOD_OVERRIDE=FQ","FILING_STATUS=OR","SCALING_FORMAT=MLN","Sort=A","Dates=H","DateFormat=P","Fill=—","Direction=H","UseDPDF=Y")</f>
        <v>—</v>
      </c>
      <c r="E30" s="13" t="str">
        <f>_xll.BDH("XOM US Equity","IS_NET_ABNORMAL_ITEMS","FQ1 1999","FQ1 1999","Currency=USD","Period=FQ","BEST_FPERIOD_OVERRIDE=FQ","FILING_STATUS=OR","SCALING_FORMAT=MLN","Sort=A","Dates=H","DateFormat=P","Fill=—","Direction=H","UseDPDF=Y")</f>
        <v>—</v>
      </c>
      <c r="F30" s="13" t="str">
        <f>_xll.BDH("XOM US Equity","IS_NET_ABNORMAL_ITEMS","FQ2 1999","FQ2 1999","Currency=USD","Period=FQ","BEST_FPERIOD_OVERRIDE=FQ","FILING_STATUS=OR","SCALING_FORMAT=MLN","Sort=A","Dates=H","DateFormat=P","Fill=—","Direction=H","UseDPDF=Y")</f>
        <v>—</v>
      </c>
      <c r="G30" s="13" t="str">
        <f>_xll.BDH("XOM US Equity","IS_NET_ABNORMAL_ITEMS","FQ3 1999","FQ3 1999","Currency=USD","Period=FQ","BEST_FPERIOD_OVERRIDE=FQ","FILING_STATUS=OR","SCALING_FORMAT=MLN","Sort=A","Dates=H","DateFormat=P","Fill=—","Direction=H","UseDPDF=Y")</f>
        <v>—</v>
      </c>
      <c r="H30" s="13">
        <f>_xll.BDH("XOM US Equity","IS_NET_ABNORMAL_ITEMS","FQ4 1999","FQ4 1999","Currency=USD","Period=FQ","BEST_FPERIOD_OVERRIDE=FQ","FILING_STATUS=OR","SCALING_FORMAT=MLN","Sort=A","Dates=H","DateFormat=P","Fill=—","Direction=H","UseDPDF=Y")</f>
        <v>305.5</v>
      </c>
      <c r="I30" s="13" t="str">
        <f>_xll.BDH("XOM US Equity","IS_NET_ABNORMAL_ITEMS","FQ1 2000","FQ1 2000","Currency=USD","Period=FQ","BEST_FPERIOD_OVERRIDE=FQ","FILING_STATUS=OR","SCALING_FORMAT=MLN","Sort=A","Dates=H","DateFormat=P","Fill=—","Direction=H","UseDPDF=Y")</f>
        <v>—</v>
      </c>
      <c r="J30" s="13" t="str">
        <f>_xll.BDH("XOM US Equity","IS_NET_ABNORMAL_ITEMS","FQ2 2000","FQ2 2000","Currency=USD","Period=FQ","BEST_FPERIOD_OVERRIDE=FQ","FILING_STATUS=OR","SCALING_FORMAT=MLN","Sort=A","Dates=H","DateFormat=P","Fill=—","Direction=H","UseDPDF=Y")</f>
        <v>—</v>
      </c>
      <c r="K30" s="13" t="str">
        <f>_xll.BDH("XOM US Equity","IS_NET_ABNORMAL_ITEMS","FQ3 2000","FQ3 2000","Currency=USD","Period=FQ","BEST_FPERIOD_OVERRIDE=FQ","FILING_STATUS=OR","SCALING_FORMAT=MLN","Sort=A","Dates=H","DateFormat=P","Fill=—","Direction=H","UseDPDF=Y")</f>
        <v>—</v>
      </c>
      <c r="L30" s="13" t="str">
        <f>_xll.BDH("XOM US Equity","IS_NET_ABNORMAL_ITEMS","FQ4 2000","FQ4 2000","Currency=USD","Period=FQ","BEST_FPERIOD_OVERRIDE=FQ","FILING_STATUS=OR","SCALING_FORMAT=MLN","Sort=A","Dates=H","DateFormat=P","Fill=—","Direction=H","UseDPDF=Y")</f>
        <v>—</v>
      </c>
      <c r="M30" s="13" t="str">
        <f>_xll.BDH("XOM US Equity","IS_NET_ABNORMAL_ITEMS","FQ1 2001","FQ1 2001","Currency=USD","Period=FQ","BEST_FPERIOD_OVERRIDE=FQ","FILING_STATUS=OR","SCALING_FORMAT=MLN","Sort=A","Dates=H","DateFormat=P","Fill=—","Direction=H","UseDPDF=Y")</f>
        <v>—</v>
      </c>
      <c r="N30" s="13" t="str">
        <f>_xll.BDH("XOM US Equity","IS_NET_ABNORMAL_ITEMS","FQ2 2001","FQ2 2001","Currency=USD","Period=FQ","BEST_FPERIOD_OVERRIDE=FQ","FILING_STATUS=OR","SCALING_FORMAT=MLN","Sort=A","Dates=H","DateFormat=P","Fill=—","Direction=H","UseDPDF=Y")</f>
        <v>—</v>
      </c>
      <c r="O30" s="13" t="str">
        <f>_xll.BDH("XOM US Equity","IS_NET_ABNORMAL_ITEMS","FQ3 2001","FQ3 2001","Currency=USD","Period=FQ","BEST_FPERIOD_OVERRIDE=FQ","FILING_STATUS=OR","SCALING_FORMAT=MLN","Sort=A","Dates=H","DateFormat=P","Fill=—","Direction=H","UseDPDF=Y")</f>
        <v>—</v>
      </c>
      <c r="P30" s="13" t="str">
        <f>_xll.BDH("XOM US Equity","IS_NET_ABNORMAL_ITEMS","FQ4 2001","FQ4 2001","Currency=USD","Period=FQ","BEST_FPERIOD_OVERRIDE=FQ","FILING_STATUS=OR","SCALING_FORMAT=MLN","Sort=A","Dates=H","DateFormat=P","Fill=—","Direction=H","UseDPDF=Y")</f>
        <v>—</v>
      </c>
      <c r="Q30" s="13" t="str">
        <f>_xll.BDH("XOM US Equity","IS_NET_ABNORMAL_ITEMS","FQ1 2002","FQ1 2002","Currency=USD","Period=FQ","BEST_FPERIOD_OVERRIDE=FQ","FILING_STATUS=OR","SCALING_FORMAT=MLN","Sort=A","Dates=H","DateFormat=P","Fill=—","Direction=H","UseDPDF=Y")</f>
        <v>—</v>
      </c>
      <c r="R30" s="13" t="str">
        <f>_xll.BDH("XOM US Equity","IS_NET_ABNORMAL_ITEMS","FQ2 2002","FQ2 2002","Currency=USD","Period=FQ","BEST_FPERIOD_OVERRIDE=FQ","FILING_STATUS=OR","SCALING_FORMAT=MLN","Sort=A","Dates=H","DateFormat=P","Fill=—","Direction=H","UseDPDF=Y")</f>
        <v>—</v>
      </c>
      <c r="S30" s="13" t="str">
        <f>_xll.BDH("XOM US Equity","IS_NET_ABNORMAL_ITEMS","FQ3 2002","FQ3 2002","Currency=USD","Period=FQ","BEST_FPERIOD_OVERRIDE=FQ","FILING_STATUS=OR","SCALING_FORMAT=MLN","Sort=A","Dates=H","DateFormat=P","Fill=—","Direction=H","UseDPDF=Y")</f>
        <v>—</v>
      </c>
      <c r="T30" s="13" t="str">
        <f>_xll.BDH("XOM US Equity","IS_NET_ABNORMAL_ITEMS","FQ4 2002","FQ4 2002","Currency=USD","Period=FQ","BEST_FPERIOD_OVERRIDE=FQ","FILING_STATUS=OR","SCALING_FORMAT=MLN","Sort=A","Dates=H","DateFormat=P","Fill=—","Direction=H","UseDPDF=Y")</f>
        <v>—</v>
      </c>
      <c r="U30" s="13" t="str">
        <f>_xll.BDH("XOM US Equity","IS_NET_ABNORMAL_ITEMS","FQ1 2003","FQ1 2003","Currency=USD","Period=FQ","BEST_FPERIOD_OVERRIDE=FQ","FILING_STATUS=OR","SCALING_FORMAT=MLN","Sort=A","Dates=H","DateFormat=P","Fill=—","Direction=H","UseDPDF=Y")</f>
        <v>—</v>
      </c>
      <c r="V30" s="13" t="str">
        <f>_xll.BDH("XOM US Equity","IS_NET_ABNORMAL_ITEMS","FQ2 2003","FQ2 2003","Currency=USD","Period=FQ","BEST_FPERIOD_OVERRIDE=FQ","FILING_STATUS=OR","SCALING_FORMAT=MLN","Sort=A","Dates=H","DateFormat=P","Fill=—","Direction=H","UseDPDF=Y")</f>
        <v>—</v>
      </c>
      <c r="W30" s="13" t="str">
        <f>_xll.BDH("XOM US Equity","IS_NET_ABNORMAL_ITEMS","FQ3 2003","FQ3 2003","Currency=USD","Period=FQ","BEST_FPERIOD_OVERRIDE=FQ","FILING_STATUS=OR","SCALING_FORMAT=MLN","Sort=A","Dates=H","DateFormat=P","Fill=—","Direction=H","UseDPDF=Y")</f>
        <v>—</v>
      </c>
      <c r="X30" s="13" t="str">
        <f>_xll.BDH("XOM US Equity","IS_NET_ABNORMAL_ITEMS","FQ4 2003","FQ4 2003","Currency=USD","Period=FQ","BEST_FPERIOD_OVERRIDE=FQ","FILING_STATUS=OR","SCALING_FORMAT=MLN","Sort=A","Dates=H","DateFormat=P","Fill=—","Direction=H","UseDPDF=Y")</f>
        <v>—</v>
      </c>
      <c r="Y30" s="13" t="str">
        <f>_xll.BDH("XOM US Equity","IS_NET_ABNORMAL_ITEMS","FQ1 2004","FQ1 2004","Currency=USD","Period=FQ","BEST_FPERIOD_OVERRIDE=FQ","FILING_STATUS=OR","SCALING_FORMAT=MLN","Sort=A","Dates=H","DateFormat=P","Fill=—","Direction=H","UseDPDF=Y")</f>
        <v>—</v>
      </c>
      <c r="Z30" s="13" t="str">
        <f>_xll.BDH("XOM US Equity","IS_NET_ABNORMAL_ITEMS","FQ2 2004","FQ2 2004","Currency=USD","Period=FQ","BEST_FPERIOD_OVERRIDE=FQ","FILING_STATUS=OR","SCALING_FORMAT=MLN","Sort=A","Dates=H","DateFormat=P","Fill=—","Direction=H","UseDPDF=Y")</f>
        <v>—</v>
      </c>
      <c r="AA30" s="13" t="str">
        <f>_xll.BDH("XOM US Equity","IS_NET_ABNORMAL_ITEMS","FQ3 2004","FQ3 2004","Currency=USD","Period=FQ","BEST_FPERIOD_OVERRIDE=FQ","FILING_STATUS=OR","SCALING_FORMAT=MLN","Sort=A","Dates=H","DateFormat=P","Fill=—","Direction=H","UseDPDF=Y")</f>
        <v>—</v>
      </c>
      <c r="AB30" s="13" t="str">
        <f>_xll.BDH("XOM US Equity","IS_NET_ABNORMAL_ITEMS","FQ4 2004","FQ4 2004","Currency=USD","Period=FQ","BEST_FPERIOD_OVERRIDE=FQ","FILING_STATUS=OR","SCALING_FORMAT=MLN","Sort=A","Dates=H","DateFormat=P","Fill=—","Direction=H","UseDPDF=Y")</f>
        <v>—</v>
      </c>
      <c r="AC30" s="13" t="str">
        <f>_xll.BDH("XOM US Equity","IS_NET_ABNORMAL_ITEMS","FQ1 2005","FQ1 2005","Currency=USD","Period=FQ","BEST_FPERIOD_OVERRIDE=FQ","FILING_STATUS=OR","SCALING_FORMAT=MLN","Sort=A","Dates=H","DateFormat=P","Fill=—","Direction=H","UseDPDF=Y")</f>
        <v>—</v>
      </c>
      <c r="AD30" s="13" t="str">
        <f>_xll.BDH("XOM US Equity","IS_NET_ABNORMAL_ITEMS","FQ2 2005","FQ2 2005","Currency=USD","Period=FQ","BEST_FPERIOD_OVERRIDE=FQ","FILING_STATUS=OR","SCALING_FORMAT=MLN","Sort=A","Dates=H","DateFormat=P","Fill=—","Direction=H","UseDPDF=Y")</f>
        <v>—</v>
      </c>
      <c r="AE30" s="13" t="str">
        <f>_xll.BDH("XOM US Equity","IS_NET_ABNORMAL_ITEMS","FQ3 2005","FQ3 2005","Currency=USD","Period=FQ","BEST_FPERIOD_OVERRIDE=FQ","FILING_STATUS=OR","SCALING_FORMAT=MLN","Sort=A","Dates=H","DateFormat=P","Fill=—","Direction=H","UseDPDF=Y")</f>
        <v>—</v>
      </c>
      <c r="AF30" s="13" t="str">
        <f>_xll.BDH("XOM US Equity","IS_NET_ABNORMAL_ITEMS","FQ4 2005","FQ4 2005","Currency=USD","Period=FQ","BEST_FPERIOD_OVERRIDE=FQ","FILING_STATUS=OR","SCALING_FORMAT=MLN","Sort=A","Dates=H","DateFormat=P","Fill=—","Direction=H","UseDPDF=Y")</f>
        <v>—</v>
      </c>
      <c r="AG30" s="13" t="str">
        <f>_xll.BDH("XOM US Equity","IS_NET_ABNORMAL_ITEMS","FQ1 2006","FQ1 2006","Currency=USD","Period=FQ","BEST_FPERIOD_OVERRIDE=FQ","FILING_STATUS=OR","SCALING_FORMAT=MLN","Sort=A","Dates=H","DateFormat=P","Fill=—","Direction=H","UseDPDF=Y")</f>
        <v>—</v>
      </c>
      <c r="AH30" s="13" t="str">
        <f>_xll.BDH("XOM US Equity","IS_NET_ABNORMAL_ITEMS","FQ2 2006","FQ2 2006","Currency=USD","Period=FQ","BEST_FPERIOD_OVERRIDE=FQ","FILING_STATUS=OR","SCALING_FORMAT=MLN","Sort=A","Dates=H","DateFormat=P","Fill=—","Direction=H","UseDPDF=Y")</f>
        <v>—</v>
      </c>
      <c r="AI30" s="13" t="str">
        <f>_xll.BDH("XOM US Equity","IS_NET_ABNORMAL_ITEMS","FQ3 2006","FQ3 2006","Currency=USD","Period=FQ","BEST_FPERIOD_OVERRIDE=FQ","FILING_STATUS=OR","SCALING_FORMAT=MLN","Sort=A","Dates=H","DateFormat=P","Fill=—","Direction=H","UseDPDF=Y")</f>
        <v>—</v>
      </c>
      <c r="AJ30" s="13" t="str">
        <f>_xll.BDH("XOM US Equity","IS_NET_ABNORMAL_ITEMS","FQ4 2006","FQ4 2006","Currency=USD","Period=FQ","BEST_FPERIOD_OVERRIDE=FQ","FILING_STATUS=OR","SCALING_FORMAT=MLN","Sort=A","Dates=H","DateFormat=P","Fill=—","Direction=H","UseDPDF=Y")</f>
        <v>—</v>
      </c>
      <c r="AK30" s="13" t="str">
        <f>_xll.BDH("XOM US Equity","IS_NET_ABNORMAL_ITEMS","FQ1 2007","FQ1 2007","Currency=USD","Period=FQ","BEST_FPERIOD_OVERRIDE=FQ","FILING_STATUS=OR","SCALING_FORMAT=MLN","Sort=A","Dates=H","DateFormat=P","Fill=—","Direction=H","UseDPDF=Y")</f>
        <v>—</v>
      </c>
      <c r="AL30" s="13" t="str">
        <f>_xll.BDH("XOM US Equity","IS_NET_ABNORMAL_ITEMS","FQ2 2007","FQ2 2007","Currency=USD","Period=FQ","BEST_FPERIOD_OVERRIDE=FQ","FILING_STATUS=OR","SCALING_FORMAT=MLN","Sort=A","Dates=H","DateFormat=P","Fill=—","Direction=H","UseDPDF=Y")</f>
        <v>—</v>
      </c>
      <c r="AM30" s="13" t="str">
        <f>_xll.BDH("XOM US Equity","IS_NET_ABNORMAL_ITEMS","FQ3 2007","FQ3 2007","Currency=USD","Period=FQ","BEST_FPERIOD_OVERRIDE=FQ","FILING_STATUS=OR","SCALING_FORMAT=MLN","Sort=A","Dates=H","DateFormat=P","Fill=—","Direction=H","UseDPDF=Y")</f>
        <v>—</v>
      </c>
      <c r="AN30" s="13" t="str">
        <f>_xll.BDH("XOM US Equity","IS_NET_ABNORMAL_ITEMS","FQ4 2007","FQ4 2007","Currency=USD","Period=FQ","BEST_FPERIOD_OVERRIDE=FQ","FILING_STATUS=OR","SCALING_FORMAT=MLN","Sort=A","Dates=H","DateFormat=P","Fill=—","Direction=H","UseDPDF=Y")</f>
        <v>—</v>
      </c>
      <c r="AO30" s="13" t="str">
        <f>_xll.BDH("XOM US Equity","IS_NET_ABNORMAL_ITEMS","FQ1 2008","FQ1 2008","Currency=USD","Period=FQ","BEST_FPERIOD_OVERRIDE=FQ","FILING_STATUS=OR","SCALING_FORMAT=MLN","Sort=A","Dates=H","DateFormat=P","Fill=—","Direction=H","UseDPDF=Y")</f>
        <v>—</v>
      </c>
      <c r="AP30" s="13" t="str">
        <f>_xll.BDH("XOM US Equity","IS_NET_ABNORMAL_ITEMS","FQ2 2008","FQ2 2008","Currency=USD","Period=FQ","BEST_FPERIOD_OVERRIDE=FQ","FILING_STATUS=OR","SCALING_FORMAT=MLN","Sort=A","Dates=H","DateFormat=P","Fill=—","Direction=H","UseDPDF=Y")</f>
        <v>—</v>
      </c>
    </row>
    <row r="31" spans="1:42" x14ac:dyDescent="0.25">
      <c r="A31" s="10" t="s">
        <v>132</v>
      </c>
      <c r="B31" s="10" t="s">
        <v>116</v>
      </c>
      <c r="C31" s="13">
        <f>_xll.BDH("XOM US Equity","XO_GL_NET_OF_TAX","FQ3 1998","FQ3 1998","Currency=USD","Period=FQ","BEST_FPERIOD_OVERRIDE=FQ","FILING_STATUS=OR","SCALING_FORMAT=MLN","Sort=A","Dates=H","DateFormat=P","Fill=—","Direction=H","UseDPDF=Y")</f>
        <v>0</v>
      </c>
      <c r="D31" s="13">
        <f>_xll.BDH("XOM US Equity","XO_GL_NET_OF_TAX","FQ4 1998","FQ4 1998","Currency=USD","Period=FQ","BEST_FPERIOD_OVERRIDE=FQ","FILING_STATUS=OR","SCALING_FORMAT=MLN","Sort=A","Dates=H","DateFormat=P","Fill=—","Direction=H","UseDPDF=Y")</f>
        <v>0</v>
      </c>
      <c r="E31" s="13">
        <f>_xll.BDH("XOM US Equity","XO_GL_NET_OF_TAX","FQ1 1999","FQ1 1999","Currency=USD","Period=FQ","BEST_FPERIOD_OVERRIDE=FQ","FILING_STATUS=OR","SCALING_FORMAT=MLN","Sort=A","Dates=H","DateFormat=P","Fill=—","Direction=H","UseDPDF=Y")</f>
        <v>0</v>
      </c>
      <c r="F31" s="13">
        <f>_xll.BDH("XOM US Equity","XO_GL_NET_OF_TAX","FQ2 1999","FQ2 1999","Currency=USD","Period=FQ","BEST_FPERIOD_OVERRIDE=FQ","FILING_STATUS=OR","SCALING_FORMAT=MLN","Sort=A","Dates=H","DateFormat=P","Fill=—","Direction=H","UseDPDF=Y")</f>
        <v>0</v>
      </c>
      <c r="G31" s="13">
        <f>_xll.BDH("XOM US Equity","XO_GL_NET_OF_TAX","FQ3 1999","FQ3 1999","Currency=USD","Period=FQ","BEST_FPERIOD_OVERRIDE=FQ","FILING_STATUS=OR","SCALING_FORMAT=MLN","Sort=A","Dates=H","DateFormat=P","Fill=—","Direction=H","UseDPDF=Y")</f>
        <v>0</v>
      </c>
      <c r="H31" s="13">
        <f>_xll.BDH("XOM US Equity","XO_GL_NET_OF_TAX","FQ4 1999","FQ4 1999","Currency=USD","Period=FQ","BEST_FPERIOD_OVERRIDE=FQ","FILING_STATUS=OR","SCALING_FORMAT=MLN","Sort=A","Dates=H","DateFormat=P","Fill=—","Direction=H","UseDPDF=Y")</f>
        <v>0</v>
      </c>
      <c r="I31" s="13">
        <f>_xll.BDH("XOM US Equity","XO_GL_NET_OF_TAX","FQ1 2000","FQ1 2000","Currency=USD","Period=FQ","BEST_FPERIOD_OVERRIDE=FQ","FILING_STATUS=OR","SCALING_FORMAT=MLN","Sort=A","Dates=H","DateFormat=P","Fill=—","Direction=H","UseDPDF=Y")</f>
        <v>-455</v>
      </c>
      <c r="J31" s="13">
        <f>_xll.BDH("XOM US Equity","XO_GL_NET_OF_TAX","FQ2 2000","FQ2 2000","Currency=USD","Period=FQ","BEST_FPERIOD_OVERRIDE=FQ","FILING_STATUS=OR","SCALING_FORMAT=MLN","Sort=A","Dates=H","DateFormat=P","Fill=—","Direction=H","UseDPDF=Y")</f>
        <v>-530</v>
      </c>
      <c r="K31" s="13">
        <f>_xll.BDH("XOM US Equity","XO_GL_NET_OF_TAX","FQ3 2000","FQ3 2000","Currency=USD","Period=FQ","BEST_FPERIOD_OVERRIDE=FQ","FILING_STATUS=OR","SCALING_FORMAT=MLN","Sort=A","Dates=H","DateFormat=P","Fill=—","Direction=H","UseDPDF=Y")</f>
        <v>-430</v>
      </c>
      <c r="L31" s="13">
        <f>_xll.BDH("XOM US Equity","XO_GL_NET_OF_TAX","FQ4 2000","FQ4 2000","Currency=USD","Period=FQ","BEST_FPERIOD_OVERRIDE=FQ","FILING_STATUS=OR","SCALING_FORMAT=MLN","Sort=A","Dates=H","DateFormat=P","Fill=—","Direction=H","UseDPDF=Y")</f>
        <v>-315</v>
      </c>
      <c r="M31" s="13">
        <f>_xll.BDH("XOM US Equity","XO_GL_NET_OF_TAX","FQ1 2001","FQ1 2001","Currency=USD","Period=FQ","BEST_FPERIOD_OVERRIDE=FQ","FILING_STATUS=OR","SCALING_FORMAT=MLN","Sort=A","Dates=H","DateFormat=P","Fill=—","Direction=H","UseDPDF=Y")</f>
        <v>-40</v>
      </c>
      <c r="N31" s="13">
        <f>_xll.BDH("XOM US Equity","XO_GL_NET_OF_TAX","FQ2 2001","FQ2 2001","Currency=USD","Period=FQ","BEST_FPERIOD_OVERRIDE=FQ","FILING_STATUS=OR","SCALING_FORMAT=MLN","Sort=A","Dates=H","DateFormat=P","Fill=—","Direction=H","UseDPDF=Y")</f>
        <v>-175</v>
      </c>
      <c r="O31" s="13">
        <f>_xll.BDH("XOM US Equity","XO_GL_NET_OF_TAX","FQ3 2001","FQ3 2001","Currency=USD","Period=FQ","BEST_FPERIOD_OVERRIDE=FQ","FILING_STATUS=OR","SCALING_FORMAT=MLN","Sort=A","Dates=H","DateFormat=P","Fill=—","Direction=H","UseDPDF=Y")</f>
        <v>0</v>
      </c>
      <c r="P31" s="13">
        <f>_xll.BDH("XOM US Equity","XO_GL_NET_OF_TAX","FQ4 2001","FQ4 2001","Currency=USD","Period=FQ","BEST_FPERIOD_OVERRIDE=FQ","FILING_STATUS=OR","SCALING_FORMAT=MLN","Sort=A","Dates=H","DateFormat=P","Fill=—","Direction=H","UseDPDF=Y")</f>
        <v>0</v>
      </c>
      <c r="Q31" s="13">
        <f>_xll.BDH("XOM US Equity","XO_GL_NET_OF_TAX","FQ1 2002","FQ1 2002","Currency=USD","Period=FQ","BEST_FPERIOD_OVERRIDE=FQ","FILING_STATUS=OR","SCALING_FORMAT=MLN","Sort=A","Dates=H","DateFormat=P","Fill=—","Direction=H","UseDPDF=Y")</f>
        <v>0</v>
      </c>
      <c r="R31" s="13">
        <f>_xll.BDH("XOM US Equity","XO_GL_NET_OF_TAX","FQ2 2002","FQ2 2002","Currency=USD","Period=FQ","BEST_FPERIOD_OVERRIDE=FQ","FILING_STATUS=OR","SCALING_FORMAT=MLN","Sort=A","Dates=H","DateFormat=P","Fill=—","Direction=H","UseDPDF=Y")</f>
        <v>0</v>
      </c>
      <c r="S31" s="13">
        <f>_xll.BDH("XOM US Equity","XO_GL_NET_OF_TAX","FQ3 2002","FQ3 2002","Currency=USD","Period=FQ","BEST_FPERIOD_OVERRIDE=FQ","FILING_STATUS=OR","SCALING_FORMAT=MLN","Sort=A","Dates=H","DateFormat=P","Fill=—","Direction=H","UseDPDF=Y")</f>
        <v>0</v>
      </c>
      <c r="T31" s="13">
        <f>_xll.BDH("XOM US Equity","XO_GL_NET_OF_TAX","FQ4 2002","FQ4 2002","Currency=USD","Period=FQ","BEST_FPERIOD_OVERRIDE=FQ","FILING_STATUS=OR","SCALING_FORMAT=MLN","Sort=A","Dates=H","DateFormat=P","Fill=—","Direction=H","UseDPDF=Y")</f>
        <v>-400</v>
      </c>
      <c r="U31" s="13">
        <f>_xll.BDH("XOM US Equity","XO_GL_NET_OF_TAX","FQ1 2003","FQ1 2003","Currency=USD","Period=FQ","BEST_FPERIOD_OVERRIDE=FQ","FILING_STATUS=OR","SCALING_FORMAT=MLN","Sort=A","Dates=H","DateFormat=P","Fill=—","Direction=H","UseDPDF=Y")</f>
        <v>-550</v>
      </c>
      <c r="V31" s="13">
        <f>_xll.BDH("XOM US Equity","XO_GL_NET_OF_TAX","FQ2 2003","FQ2 2003","Currency=USD","Period=FQ","BEST_FPERIOD_OVERRIDE=FQ","FILING_STATUS=OR","SCALING_FORMAT=MLN","Sort=A","Dates=H","DateFormat=P","Fill=—","Direction=H","UseDPDF=Y")</f>
        <v>0</v>
      </c>
      <c r="W31" s="13">
        <f>_xll.BDH("XOM US Equity","XO_GL_NET_OF_TAX","FQ3 2003","FQ3 2003","Currency=USD","Period=FQ","BEST_FPERIOD_OVERRIDE=FQ","FILING_STATUS=OR","SCALING_FORMAT=MLN","Sort=A","Dates=H","DateFormat=P","Fill=—","Direction=H","UseDPDF=Y")</f>
        <v>0</v>
      </c>
      <c r="X31" s="13">
        <f>_xll.BDH("XOM US Equity","XO_GL_NET_OF_TAX","FQ4 2003","FQ4 2003","Currency=USD","Period=FQ","BEST_FPERIOD_OVERRIDE=FQ","FILING_STATUS=OR","SCALING_FORMAT=MLN","Sort=A","Dates=H","DateFormat=P","Fill=—","Direction=H","UseDPDF=Y")</f>
        <v>0</v>
      </c>
      <c r="Y31" s="13">
        <f>_xll.BDH("XOM US Equity","XO_GL_NET_OF_TAX","FQ1 2004","FQ1 2004","Currency=USD","Period=FQ","BEST_FPERIOD_OVERRIDE=FQ","FILING_STATUS=OR","SCALING_FORMAT=MLN","Sort=A","Dates=H","DateFormat=P","Fill=—","Direction=H","UseDPDF=Y")</f>
        <v>0</v>
      </c>
      <c r="Z31" s="13">
        <f>_xll.BDH("XOM US Equity","XO_GL_NET_OF_TAX","FQ2 2004","FQ2 2004","Currency=USD","Period=FQ","BEST_FPERIOD_OVERRIDE=FQ","FILING_STATUS=OR","SCALING_FORMAT=MLN","Sort=A","Dates=H","DateFormat=P","Fill=—","Direction=H","UseDPDF=Y")</f>
        <v>0</v>
      </c>
      <c r="AA31" s="13">
        <f>_xll.BDH("XOM US Equity","XO_GL_NET_OF_TAX","FQ3 2004","FQ3 2004","Currency=USD","Period=FQ","BEST_FPERIOD_OVERRIDE=FQ","FILING_STATUS=OR","SCALING_FORMAT=MLN","Sort=A","Dates=H","DateFormat=P","Fill=—","Direction=H","UseDPDF=Y")</f>
        <v>0</v>
      </c>
      <c r="AB31" s="13">
        <f>_xll.BDH("XOM US Equity","XO_GL_NET_OF_TAX","FQ4 2004","FQ4 2004","Currency=USD","Period=FQ","BEST_FPERIOD_OVERRIDE=FQ","FILING_STATUS=OR","SCALING_FORMAT=MLN","Sort=A","Dates=H","DateFormat=P","Fill=—","Direction=H","UseDPDF=Y")</f>
        <v>0</v>
      </c>
      <c r="AC31" s="13">
        <f>_xll.BDH("XOM US Equity","XO_GL_NET_OF_TAX","FQ1 2005","FQ1 2005","Currency=USD","Period=FQ","BEST_FPERIOD_OVERRIDE=FQ","FILING_STATUS=OR","SCALING_FORMAT=MLN","Sort=A","Dates=H","DateFormat=P","Fill=—","Direction=H","UseDPDF=Y")</f>
        <v>0</v>
      </c>
      <c r="AD31" s="13">
        <f>_xll.BDH("XOM US Equity","XO_GL_NET_OF_TAX","FQ2 2005","FQ2 2005","Currency=USD","Period=FQ","BEST_FPERIOD_OVERRIDE=FQ","FILING_STATUS=OR","SCALING_FORMAT=MLN","Sort=A","Dates=H","DateFormat=P","Fill=—","Direction=H","UseDPDF=Y")</f>
        <v>0</v>
      </c>
      <c r="AE31" s="13">
        <f>_xll.BDH("XOM US Equity","XO_GL_NET_OF_TAX","FQ3 2005","FQ3 2005","Currency=USD","Period=FQ","BEST_FPERIOD_OVERRIDE=FQ","FILING_STATUS=OR","SCALING_FORMAT=MLN","Sort=A","Dates=H","DateFormat=P","Fill=—","Direction=H","UseDPDF=Y")</f>
        <v>0</v>
      </c>
      <c r="AF31" s="13">
        <f>_xll.BDH("XOM US Equity","XO_GL_NET_OF_TAX","FQ4 2005","FQ4 2005","Currency=USD","Period=FQ","BEST_FPERIOD_OVERRIDE=FQ","FILING_STATUS=OR","SCALING_FORMAT=MLN","Sort=A","Dates=H","DateFormat=P","Fill=—","Direction=H","UseDPDF=Y")</f>
        <v>0</v>
      </c>
      <c r="AG31" s="13" t="str">
        <f>_xll.BDH("XOM US Equity","XO_GL_NET_OF_TAX","FQ1 2006","FQ1 2006","Currency=USD","Period=FQ","BEST_FPERIOD_OVERRIDE=FQ","FILING_STATUS=OR","SCALING_FORMAT=MLN","Sort=A","Dates=H","DateFormat=P","Fill=—","Direction=H","UseDPDF=Y")</f>
        <v>—</v>
      </c>
      <c r="AH31" s="13" t="str">
        <f>_xll.BDH("XOM US Equity","XO_GL_NET_OF_TAX","FQ2 2006","FQ2 2006","Currency=USD","Period=FQ","BEST_FPERIOD_OVERRIDE=FQ","FILING_STATUS=OR","SCALING_FORMAT=MLN","Sort=A","Dates=H","DateFormat=P","Fill=—","Direction=H","UseDPDF=Y")</f>
        <v>—</v>
      </c>
      <c r="AI31" s="13" t="str">
        <f>_xll.BDH("XOM US Equity","XO_GL_NET_OF_TAX","FQ3 2006","FQ3 2006","Currency=USD","Period=FQ","BEST_FPERIOD_OVERRIDE=FQ","FILING_STATUS=OR","SCALING_FORMAT=MLN","Sort=A","Dates=H","DateFormat=P","Fill=—","Direction=H","UseDPDF=Y")</f>
        <v>—</v>
      </c>
      <c r="AJ31" s="13">
        <f>_xll.BDH("XOM US Equity","XO_GL_NET_OF_TAX","FQ4 2006","FQ4 2006","Currency=USD","Period=FQ","BEST_FPERIOD_OVERRIDE=FQ","FILING_STATUS=OR","SCALING_FORMAT=MLN","Sort=A","Dates=H","DateFormat=P","Fill=—","Direction=H","UseDPDF=Y")</f>
        <v>0</v>
      </c>
      <c r="AK31" s="13">
        <f>_xll.BDH("XOM US Equity","XO_GL_NET_OF_TAX","FQ1 2007","FQ1 2007","Currency=USD","Period=FQ","BEST_FPERIOD_OVERRIDE=FQ","FILING_STATUS=OR","SCALING_FORMAT=MLN","Sort=A","Dates=H","DateFormat=P","Fill=—","Direction=H","UseDPDF=Y")</f>
        <v>0</v>
      </c>
      <c r="AL31" s="13">
        <f>_xll.BDH("XOM US Equity","XO_GL_NET_OF_TAX","FQ2 2007","FQ2 2007","Currency=USD","Period=FQ","BEST_FPERIOD_OVERRIDE=FQ","FILING_STATUS=OR","SCALING_FORMAT=MLN","Sort=A","Dates=H","DateFormat=P","Fill=—","Direction=H","UseDPDF=Y")</f>
        <v>0</v>
      </c>
      <c r="AM31" s="13">
        <f>_xll.BDH("XOM US Equity","XO_GL_NET_OF_TAX","FQ3 2007","FQ3 2007","Currency=USD","Period=FQ","BEST_FPERIOD_OVERRIDE=FQ","FILING_STATUS=OR","SCALING_FORMAT=MLN","Sort=A","Dates=H","DateFormat=P","Fill=—","Direction=H","UseDPDF=Y")</f>
        <v>0</v>
      </c>
      <c r="AN31" s="13">
        <f>_xll.BDH("XOM US Equity","XO_GL_NET_OF_TAX","FQ4 2007","FQ4 2007","Currency=USD","Period=FQ","BEST_FPERIOD_OVERRIDE=FQ","FILING_STATUS=OR","SCALING_FORMAT=MLN","Sort=A","Dates=H","DateFormat=P","Fill=—","Direction=H","UseDPDF=Y")</f>
        <v>0</v>
      </c>
      <c r="AO31" s="13">
        <f>_xll.BDH("XOM US Equity","XO_GL_NET_OF_TAX","FQ1 2008","FQ1 2008","Currency=USD","Period=FQ","BEST_FPERIOD_OVERRIDE=FQ","FILING_STATUS=OR","SCALING_FORMAT=MLN","Sort=A","Dates=H","DateFormat=P","Fill=—","Direction=H","UseDPDF=Y")</f>
        <v>0</v>
      </c>
      <c r="AP31" s="13">
        <f>_xll.BDH("XOM US Equity","XO_GL_NET_OF_TAX","FQ2 2008","FQ2 2008","Currency=USD","Period=FQ","BEST_FPERIOD_OVERRIDE=FQ","FILING_STATUS=OR","SCALING_FORMAT=MLN","Sort=A","Dates=H","DateFormat=P","Fill=—","Direction=H","UseDPDF=Y")</f>
        <v>0</v>
      </c>
    </row>
    <row r="32" spans="1:42" x14ac:dyDescent="0.25">
      <c r="A32" s="6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1:42" x14ac:dyDescent="0.25">
      <c r="A33" s="10" t="s">
        <v>133</v>
      </c>
      <c r="B33" s="10" t="s">
        <v>134</v>
      </c>
      <c r="C33" s="13">
        <f>_xll.BDH("XOM US Equity","IS_AVG_NUM_SH_FOR_EPS","FQ3 1998","FQ3 1998","Currency=USD","Period=FQ","BEST_FPERIOD_OVERRIDE=FQ","FILING_STATUS=OR","Sort=A","Dates=H","DateFormat=P","Fill=—","Direction=H","UseDPDF=Y")</f>
        <v>4870</v>
      </c>
      <c r="D33" s="13">
        <f>_xll.BDH("XOM US Equity","IS_AVG_NUM_SH_FOR_EPS","FQ4 1998","FQ4 1998","Currency=USD","Period=FQ","BEST_FPERIOD_OVERRIDE=FQ","FILING_STATUS=OR","Sort=A","Dates=H","DateFormat=P","Fill=—","Direction=H","UseDPDF=Y")</f>
        <v>4858</v>
      </c>
      <c r="E33" s="13">
        <f>_xll.BDH("XOM US Equity","IS_AVG_NUM_SH_FOR_EPS","FQ1 1999","FQ1 1999","Currency=USD","Period=FQ","BEST_FPERIOD_OVERRIDE=FQ","FILING_STATUS=OR","Sort=A","Dates=H","DateFormat=P","Fill=—","Direction=H","UseDPDF=Y")</f>
        <v>4856</v>
      </c>
      <c r="F33" s="13">
        <f>_xll.BDH("XOM US Equity","IS_AVG_NUM_SH_FOR_EPS","FQ2 1999","FQ2 1999","Currency=USD","Period=FQ","BEST_FPERIOD_OVERRIDE=FQ","FILING_STATUS=OR","Sort=A","Dates=H","DateFormat=P","Fill=—","Direction=H","UseDPDF=Y")</f>
        <v>4856</v>
      </c>
      <c r="G33" s="13">
        <f>_xll.BDH("XOM US Equity","IS_AVG_NUM_SH_FOR_EPS","FQ3 1999","FQ3 1999","Currency=USD","Period=FQ","BEST_FPERIOD_OVERRIDE=FQ","FILING_STATUS=OR","Sort=A","Dates=H","DateFormat=P","Fill=—","Direction=H","UseDPDF=Y")</f>
        <v>4856</v>
      </c>
      <c r="H33" s="13">
        <f>_xll.BDH("XOM US Equity","IS_AVG_NUM_SH_FOR_EPS","FQ4 1999","FQ4 1999","Currency=USD","Period=FQ","BEST_FPERIOD_OVERRIDE=FQ","FILING_STATUS=OR","Sort=A","Dates=H","DateFormat=P","Fill=—","Direction=H","UseDPDF=Y")</f>
        <v>6906</v>
      </c>
      <c r="I33" s="13">
        <f>_xll.BDH("XOM US Equity","IS_AVG_NUM_SH_FOR_EPS","FQ1 2000","FQ1 2000","Currency=USD","Period=FQ","BEST_FPERIOD_OVERRIDE=FQ","FILING_STATUS=OR","Sort=A","Dates=H","DateFormat=P","Fill=—","Direction=H","UseDPDF=Y")</f>
        <v>6956</v>
      </c>
      <c r="J33" s="13">
        <f>_xll.BDH("XOM US Equity","IS_AVG_NUM_SH_FOR_EPS","FQ2 2000","FQ2 2000","Currency=USD","Period=FQ","BEST_FPERIOD_OVERRIDE=FQ","FILING_STATUS=OR","Sort=A","Dates=H","DateFormat=P","Fill=—","Direction=H","UseDPDF=Y")</f>
        <v>6962</v>
      </c>
      <c r="K33" s="13">
        <f>_xll.BDH("XOM US Equity","IS_AVG_NUM_SH_FOR_EPS","FQ3 2000","FQ3 2000","Currency=USD","Period=FQ","BEST_FPERIOD_OVERRIDE=FQ","FILING_STATUS=OR","Sort=A","Dates=H","DateFormat=P","Fill=—","Direction=H","UseDPDF=Y")</f>
        <v>6960</v>
      </c>
      <c r="L33" s="13">
        <f>_xll.BDH("XOM US Equity","IS_AVG_NUM_SH_FOR_EPS","FQ4 2000","FQ4 2000","Currency=USD","Period=FQ","BEST_FPERIOD_OVERRIDE=FQ","FILING_STATUS=OR","Sort=A","Dates=H","DateFormat=P","Fill=—","Direction=H","UseDPDF=Y")</f>
        <v>6938</v>
      </c>
      <c r="M33" s="13">
        <f>_xll.BDH("XOM US Equity","IS_AVG_NUM_SH_FOR_EPS","FQ1 2001","FQ1 2001","Currency=USD","Period=FQ","BEST_FPERIOD_OVERRIDE=FQ","FILING_STATUS=OR","Sort=A","Dates=H","DateFormat=P","Fill=—","Direction=H","UseDPDF=Y")</f>
        <v>6912</v>
      </c>
      <c r="N33" s="13">
        <f>_xll.BDH("XOM US Equity","IS_AVG_NUM_SH_FOR_EPS","FQ2 2001","FQ2 2001","Currency=USD","Period=FQ","BEST_FPERIOD_OVERRIDE=FQ","FILING_STATUS=OR","Sort=A","Dates=H","DateFormat=P","Fill=—","Direction=H","UseDPDF=Y")</f>
        <v>6883</v>
      </c>
      <c r="O33" s="13">
        <f>_xll.BDH("XOM US Equity","IS_AVG_NUM_SH_FOR_EPS","FQ3 2001","FQ3 2001","Currency=USD","Period=FQ","BEST_FPERIOD_OVERRIDE=FQ","FILING_STATUS=OR","Sort=A","Dates=H","DateFormat=P","Fill=—","Direction=H","UseDPDF=Y")</f>
        <v>6852</v>
      </c>
      <c r="P33" s="13">
        <f>_xll.BDH("XOM US Equity","IS_AVG_NUM_SH_FOR_EPS","FQ4 2001","FQ4 2001","Currency=USD","Period=FQ","BEST_FPERIOD_OVERRIDE=FQ","FILING_STATUS=OR","Sort=A","Dates=H","DateFormat=P","Fill=—","Direction=H","UseDPDF=Y")</f>
        <v>6823</v>
      </c>
      <c r="Q33" s="13">
        <f>_xll.BDH("XOM US Equity","IS_AVG_NUM_SH_FOR_EPS","FQ1 2002","FQ1 2002","Currency=USD","Period=FQ","BEST_FPERIOD_OVERRIDE=FQ","FILING_STATUS=OR","Sort=A","Dates=H","DateFormat=P","Fill=—","Direction=H","UseDPDF=Y")</f>
        <v>6793</v>
      </c>
      <c r="R33" s="13">
        <f>_xll.BDH("XOM US Equity","IS_AVG_NUM_SH_FOR_EPS","FQ2 2002","FQ2 2002","Currency=USD","Period=FQ","BEST_FPERIOD_OVERRIDE=FQ","FILING_STATUS=OR","Sort=A","Dates=H","DateFormat=P","Fill=—","Direction=H","UseDPDF=Y")</f>
        <v>6767</v>
      </c>
      <c r="S33" s="13">
        <f>_xll.BDH("XOM US Equity","IS_AVG_NUM_SH_FOR_EPS","FQ3 2002","FQ3 2002","Currency=USD","Period=FQ","BEST_FPERIOD_OVERRIDE=FQ","FILING_STATUS=OR","Sort=A","Dates=H","DateFormat=P","Fill=—","Direction=H","UseDPDF=Y")</f>
        <v>6740</v>
      </c>
      <c r="T33" s="13">
        <f>_xll.BDH("XOM US Equity","IS_AVG_NUM_SH_FOR_EPS","FQ4 2002","FQ4 2002","Currency=USD","Period=FQ","BEST_FPERIOD_OVERRIDE=FQ","FILING_STATUS=OR","Sort=A","Dates=H","DateFormat=P","Fill=—","Direction=H","UseDPDF=Y")</f>
        <v>6712</v>
      </c>
      <c r="U33" s="13">
        <f>_xll.BDH("XOM US Equity","IS_AVG_NUM_SH_FOR_EPS","FQ1 2003","FQ1 2003","Currency=USD","Period=FQ","BEST_FPERIOD_OVERRIDE=FQ","FILING_STATUS=OR","Sort=A","Dates=H","DateFormat=P","Fill=—","Direction=H","UseDPDF=Y")</f>
        <v>6683</v>
      </c>
      <c r="V33" s="13">
        <f>_xll.BDH("XOM US Equity","IS_AVG_NUM_SH_FOR_EPS","FQ2 2003","FQ2 2003","Currency=USD","Period=FQ","BEST_FPERIOD_OVERRIDE=FQ","FILING_STATUS=OR","Sort=A","Dates=H","DateFormat=P","Fill=—","Direction=H","UseDPDF=Y")</f>
        <v>6654</v>
      </c>
      <c r="W33" s="13">
        <f>_xll.BDH("XOM US Equity","IS_AVG_NUM_SH_FOR_EPS","FQ3 2003","FQ3 2003","Currency=USD","Period=FQ","BEST_FPERIOD_OVERRIDE=FQ","FILING_STATUS=OR","Sort=A","Dates=H","DateFormat=P","Fill=—","Direction=H","UseDPDF=Y")</f>
        <v>6619</v>
      </c>
      <c r="X33" s="13">
        <f>_xll.BDH("XOM US Equity","IS_AVG_NUM_SH_FOR_EPS","FQ4 2003","FQ4 2003","Currency=USD","Period=FQ","BEST_FPERIOD_OVERRIDE=FQ","FILING_STATUS=OR","Sort=A","Dates=H","DateFormat=P","Fill=—","Direction=H","UseDPDF=Y")</f>
        <v>6580</v>
      </c>
      <c r="Y33" s="13">
        <f>_xll.BDH("XOM US Equity","IS_AVG_NUM_SH_FOR_EPS","FQ1 2004","FQ1 2004","Currency=USD","Period=FQ","BEST_FPERIOD_OVERRIDE=FQ","FILING_STATUS=OR","Sort=A","Dates=H","DateFormat=P","Fill=—","Direction=H","UseDPDF=Y")</f>
        <v>6544</v>
      </c>
      <c r="Z33" s="13">
        <f>_xll.BDH("XOM US Equity","IS_AVG_NUM_SH_FOR_EPS","FQ2 2004","FQ2 2004","Currency=USD","Period=FQ","BEST_FPERIOD_OVERRIDE=FQ","FILING_STATUS=OR","Sort=A","Dates=H","DateFormat=P","Fill=—","Direction=H","UseDPDF=Y")</f>
        <v>6506</v>
      </c>
      <c r="AA33" s="13">
        <f>_xll.BDH("XOM US Equity","IS_AVG_NUM_SH_FOR_EPS","FQ3 2004","FQ3 2004","Currency=USD","Period=FQ","BEST_FPERIOD_OVERRIDE=FQ","FILING_STATUS=OR","Sort=A","Dates=H","DateFormat=P","Fill=—","Direction=H","UseDPDF=Y")</f>
        <v>6464</v>
      </c>
      <c r="AB33" s="13">
        <f>_xll.BDH("XOM US Equity","IS_AVG_NUM_SH_FOR_EPS","FQ4 2004","FQ4 2004","Currency=USD","Period=FQ","BEST_FPERIOD_OVERRIDE=FQ","FILING_STATUS=OR","Sort=A","Dates=H","DateFormat=P","Fill=—","Direction=H","UseDPDF=Y")</f>
        <v>6411</v>
      </c>
      <c r="AC33" s="13">
        <f>_xll.BDH("XOM US Equity","IS_AVG_NUM_SH_FOR_EPS","FQ1 2005","FQ1 2005","Currency=USD","Period=FQ","BEST_FPERIOD_OVERRIDE=FQ","FILING_STATUS=OR","Sort=A","Dates=H","DateFormat=P","Fill=—","Direction=H","UseDPDF=Y")</f>
        <v>6365</v>
      </c>
      <c r="AD33" s="13">
        <f>_xll.BDH("XOM US Equity","IS_AVG_NUM_SH_FOR_EPS","FQ2 2005","FQ2 2005","Currency=USD","Period=FQ","BEST_FPERIOD_OVERRIDE=FQ","FILING_STATUS=OR","Sort=A","Dates=H","DateFormat=P","Fill=—","Direction=H","UseDPDF=Y")</f>
        <v>6310</v>
      </c>
      <c r="AE33" s="13">
        <f>_xll.BDH("XOM US Equity","IS_AVG_NUM_SH_FOR_EPS","FQ3 2005","FQ3 2005","Currency=USD","Period=FQ","BEST_FPERIOD_OVERRIDE=FQ","FILING_STATUS=OR","Sort=A","Dates=H","DateFormat=P","Fill=—","Direction=H","UseDPDF=Y")</f>
        <v>6241</v>
      </c>
      <c r="AF33" s="13">
        <f>_xll.BDH("XOM US Equity","IS_AVG_NUM_SH_FOR_EPS","FQ4 2005","FQ4 2005","Currency=USD","Period=FQ","BEST_FPERIOD_OVERRIDE=FQ","FILING_STATUS=OR","Sort=A","Dates=H","DateFormat=P","Fill=—","Direction=H","UseDPDF=Y")</f>
        <v>6226</v>
      </c>
      <c r="AG33" s="13">
        <f>_xll.BDH("XOM US Equity","IS_AVG_NUM_SH_FOR_EPS","FQ1 2006","FQ1 2006","Currency=USD","Period=FQ","BEST_FPERIOD_OVERRIDE=FQ","FILING_STATUS=OR","Sort=A","Dates=H","DateFormat=P","Fill=—","Direction=H","UseDPDF=Y")</f>
        <v>6068</v>
      </c>
      <c r="AH33" s="13">
        <f>_xll.BDH("XOM US Equity","IS_AVG_NUM_SH_FOR_EPS","FQ2 2006","FQ2 2006","Currency=USD","Period=FQ","BEST_FPERIOD_OVERRIDE=FQ","FILING_STATUS=OR","Sort=A","Dates=H","DateFormat=P","Fill=—","Direction=H","UseDPDF=Y")</f>
        <v>5971</v>
      </c>
      <c r="AI33" s="13">
        <f>_xll.BDH("XOM US Equity","IS_AVG_NUM_SH_FOR_EPS","FQ3 2006","FQ3 2006","Currency=USD","Period=FQ","BEST_FPERIOD_OVERRIDE=FQ","FILING_STATUS=OR","Sort=A","Dates=H","DateFormat=P","Fill=—","Direction=H","UseDPDF=Y")</f>
        <v>5861</v>
      </c>
      <c r="AJ33" s="13">
        <f>_xll.BDH("XOM US Equity","IS_AVG_NUM_SH_FOR_EPS","FQ4 2006","FQ4 2006","Currency=USD","Period=FQ","BEST_FPERIOD_OVERRIDE=FQ","FILING_STATUS=OR","Sort=A","Dates=H","DateFormat=P","Fill=—","Direction=H","UseDPDF=Y")</f>
        <v>5790.96</v>
      </c>
      <c r="AK33" s="13">
        <f>_xll.BDH("XOM US Equity","IS_AVG_NUM_SH_FOR_EPS","FQ1 2007","FQ1 2007","Currency=USD","Period=FQ","BEST_FPERIOD_OVERRIDE=FQ","FILING_STATUS=OR","Sort=A","Dates=H","DateFormat=P","Fill=—","Direction=H","UseDPDF=Y")</f>
        <v>5650</v>
      </c>
      <c r="AL33" s="13">
        <f>_xll.BDH("XOM US Equity","IS_AVG_NUM_SH_FOR_EPS","FQ2 2007","FQ2 2007","Currency=USD","Period=FQ","BEST_FPERIOD_OVERRIDE=FQ","FILING_STATUS=OR","Sort=A","Dates=H","DateFormat=P","Fill=—","Direction=H","UseDPDF=Y")</f>
        <v>5555</v>
      </c>
      <c r="AM33" s="13">
        <f>_xll.BDH("XOM US Equity","IS_AVG_NUM_SH_FOR_EPS","FQ3 2007","FQ3 2007","Currency=USD","Period=FQ","BEST_FPERIOD_OVERRIDE=FQ","FILING_STATUS=OR","Sort=A","Dates=H","DateFormat=P","Fill=—","Direction=H","UseDPDF=Y")</f>
        <v>5470</v>
      </c>
      <c r="AN33" s="13">
        <f>_xll.BDH("XOM US Equity","IS_AVG_NUM_SH_FOR_EPS","FQ4 2007","FQ4 2007","Currency=USD","Period=FQ","BEST_FPERIOD_OVERRIDE=FQ","FILING_STATUS=OR","Sort=A","Dates=H","DateFormat=P","Fill=—","Direction=H","UseDPDF=Y")</f>
        <v>5423</v>
      </c>
      <c r="AO33" s="13">
        <f>_xll.BDH("XOM US Equity","IS_AVG_NUM_SH_FOR_EPS","FQ1 2008","FQ1 2008","Currency=USD","Period=FQ","BEST_FPERIOD_OVERRIDE=FQ","FILING_STATUS=OR","Sort=A","Dates=H","DateFormat=P","Fill=—","Direction=H","UseDPDF=Y")</f>
        <v>5301</v>
      </c>
      <c r="AP33" s="13">
        <f>_xll.BDH("XOM US Equity","IS_AVG_NUM_SH_FOR_EPS","FQ2 2008","FQ2 2008","Currency=USD","Period=FQ","BEST_FPERIOD_OVERRIDE=FQ","FILING_STATUS=OR","Sort=A","Dates=H","DateFormat=P","Fill=—","Direction=H","UseDPDF=Y")</f>
        <v>5201</v>
      </c>
    </row>
    <row r="34" spans="1:42" x14ac:dyDescent="0.25">
      <c r="A34" s="6" t="s">
        <v>135</v>
      </c>
      <c r="B34" s="6" t="s">
        <v>136</v>
      </c>
      <c r="C34" s="17">
        <f>_xll.BDH("XOM US Equity","IS_EPS","FQ3 1998","FQ3 1998","Currency=USD","Period=FQ","BEST_FPERIOD_OVERRIDE=FQ","FILING_STATUS=OR","FA_ADJUSTED=GAAP","Sort=A","Dates=H","DateFormat=P","Fill=—","Direction=H","UseDPDF=Y")</f>
        <v>0.28999999999999998</v>
      </c>
      <c r="D34" s="17">
        <f>_xll.BDH("XOM US Equity","IS_EPS","FQ4 1998","FQ4 1998","Currency=USD","Period=FQ","BEST_FPERIOD_OVERRIDE=FQ","FILING_STATUS=OR","FA_ADJUSTED=GAAP","Sort=A","Dates=H","DateFormat=P","Fill=—","Direction=H","UseDPDF=Y")</f>
        <v>0.315</v>
      </c>
      <c r="E34" s="17">
        <f>_xll.BDH("XOM US Equity","IS_EPS","FQ1 1999","FQ1 1999","Currency=USD","Period=FQ","BEST_FPERIOD_OVERRIDE=FQ","FILING_STATUS=OR","FA_ADJUSTED=GAAP","Sort=A","Dates=H","DateFormat=P","Fill=—","Direction=H","UseDPDF=Y")</f>
        <v>0.21</v>
      </c>
      <c r="F34" s="17">
        <f>_xll.BDH("XOM US Equity","IS_EPS","FQ2 1999","FQ2 1999","Currency=USD","Period=FQ","BEST_FPERIOD_OVERRIDE=FQ","FILING_STATUS=OR","FA_ADJUSTED=GAAP","Sort=A","Dates=H","DateFormat=P","Fill=—","Direction=H","UseDPDF=Y")</f>
        <v>0.25</v>
      </c>
      <c r="G34" s="17">
        <f>_xll.BDH("XOM US Equity","IS_EPS","FQ3 1999","FQ3 1999","Currency=USD","Period=FQ","BEST_FPERIOD_OVERRIDE=FQ","FILING_STATUS=OR","FA_ADJUSTED=GAAP","Sort=A","Dates=H","DateFormat=P","Fill=—","Direction=H","UseDPDF=Y")</f>
        <v>0.31</v>
      </c>
      <c r="H34" s="17">
        <f>_xll.BDH("XOM US Equity","IS_EPS","FQ4 1999","FQ4 1999","Currency=USD","Period=FQ","BEST_FPERIOD_OVERRIDE=FQ","FILING_STATUS=OR","FA_ADJUSTED=GAAP","Sort=A","Dates=H","DateFormat=P","Fill=—","Direction=H","UseDPDF=Y")</f>
        <v>0.6</v>
      </c>
      <c r="I34" s="17">
        <f>_xll.BDH("XOM US Equity","IS_EPS","FQ1 2000","FQ1 2000","Currency=USD","Period=FQ","BEST_FPERIOD_OVERRIDE=FQ","FILING_STATUS=OR","FA_ADJUSTED=GAAP","Sort=A","Dates=H","DateFormat=P","Fill=—","Direction=H","UseDPDF=Y")</f>
        <v>0.5</v>
      </c>
      <c r="J34" s="17">
        <f>_xll.BDH("XOM US Equity","IS_EPS","FQ2 2000","FQ2 2000","Currency=USD","Period=FQ","BEST_FPERIOD_OVERRIDE=FQ","FILING_STATUS=OR","FA_ADJUSTED=GAAP","Sort=A","Dates=H","DateFormat=P","Fill=—","Direction=H","UseDPDF=Y")</f>
        <v>0.66</v>
      </c>
      <c r="K34" s="17">
        <f>_xll.BDH("XOM US Equity","IS_EPS","FQ3 2000","FQ3 2000","Currency=USD","Period=FQ","BEST_FPERIOD_OVERRIDE=FQ","FILING_STATUS=OR","FA_ADJUSTED=GAAP","Sort=A","Dates=H","DateFormat=P","Fill=—","Direction=H","UseDPDF=Y")</f>
        <v>0.63</v>
      </c>
      <c r="L34" s="17">
        <f>_xll.BDH("XOM US Equity","IS_EPS","FQ4 2000","FQ4 2000","Currency=USD","Period=FQ","BEST_FPERIOD_OVERRIDE=FQ","FILING_STATUS=OR","FA_ADJUSTED=GAAP","Sort=A","Dates=H","DateFormat=P","Fill=—","Direction=H","UseDPDF=Y")</f>
        <v>0.76</v>
      </c>
      <c r="M34" s="17">
        <f>_xll.BDH("XOM US Equity","IS_EPS","FQ1 2001","FQ1 2001","Currency=USD","Period=FQ","BEST_FPERIOD_OVERRIDE=FQ","FILING_STATUS=OR","FA_ADJUSTED=GAAP","Sort=A","Dates=H","DateFormat=P","Fill=—","Direction=H","UseDPDF=Y")</f>
        <v>0.72</v>
      </c>
      <c r="N34" s="17">
        <f>_xll.BDH("XOM US Equity","IS_EPS","FQ2 2001","FQ2 2001","Currency=USD","Period=FQ","BEST_FPERIOD_OVERRIDE=FQ","FILING_STATUS=OR","FA_ADJUSTED=GAAP","Sort=A","Dates=H","DateFormat=P","Fill=—","Direction=H","UseDPDF=Y")</f>
        <v>0.66</v>
      </c>
      <c r="O34" s="17">
        <f>_xll.BDH("XOM US Equity","IS_EPS","FQ3 2001","FQ3 2001","Currency=USD","Period=FQ","BEST_FPERIOD_OVERRIDE=FQ","FILING_STATUS=OR","FA_ADJUSTED=GAAP","Sort=A","Dates=H","DateFormat=P","Fill=—","Direction=H","UseDPDF=Y")</f>
        <v>0.46</v>
      </c>
      <c r="P34" s="17">
        <f>_xll.BDH("XOM US Equity","IS_EPS","FQ4 2001","FQ4 2001","Currency=USD","Period=FQ","BEST_FPERIOD_OVERRIDE=FQ","FILING_STATUS=OR","FA_ADJUSTED=GAAP","Sort=A","Dates=H","DateFormat=P","Fill=—","Direction=H","UseDPDF=Y")</f>
        <v>0.39</v>
      </c>
      <c r="Q34" s="17">
        <f>_xll.BDH("XOM US Equity","IS_EPS","FQ1 2002","FQ1 2002","Currency=USD","Period=FQ","BEST_FPERIOD_OVERRIDE=FQ","FILING_STATUS=OR","FA_ADJUSTED=GAAP","Sort=A","Dates=H","DateFormat=P","Fill=—","Direction=H","UseDPDF=Y")</f>
        <v>0.3</v>
      </c>
      <c r="R34" s="17">
        <f>_xll.BDH("XOM US Equity","IS_EPS","FQ2 2002","FQ2 2002","Currency=USD","Period=FQ","BEST_FPERIOD_OVERRIDE=FQ","FILING_STATUS=OR","FA_ADJUSTED=GAAP","Sort=A","Dates=H","DateFormat=P","Fill=—","Direction=H","UseDPDF=Y")</f>
        <v>0.4</v>
      </c>
      <c r="S34" s="17">
        <f>_xll.BDH("XOM US Equity","IS_EPS","FQ3 2002","FQ3 2002","Currency=USD","Period=FQ","BEST_FPERIOD_OVERRIDE=FQ","FILING_STATUS=OR","FA_ADJUSTED=GAAP","Sort=A","Dates=H","DateFormat=P","Fill=—","Direction=H","UseDPDF=Y")</f>
        <v>0.39</v>
      </c>
      <c r="T34" s="17">
        <f>_xll.BDH("XOM US Equity","IS_EPS","FQ4 2002","FQ4 2002","Currency=USD","Period=FQ","BEST_FPERIOD_OVERRIDE=FQ","FILING_STATUS=OR","FA_ADJUSTED=GAAP","Sort=A","Dates=H","DateFormat=P","Fill=—","Direction=H","UseDPDF=Y")</f>
        <v>0.6</v>
      </c>
      <c r="U34" s="17">
        <f>_xll.BDH("XOM US Equity","IS_EPS","FQ1 2003","FQ1 2003","Currency=USD","Period=FQ","BEST_FPERIOD_OVERRIDE=FQ","FILING_STATUS=OR","FA_ADJUSTED=GAAP","Sort=A","Dates=H","DateFormat=P","Fill=—","Direction=H","UseDPDF=Y")</f>
        <v>1.05</v>
      </c>
      <c r="V34" s="17">
        <f>_xll.BDH("XOM US Equity","IS_EPS","FQ2 2003","FQ2 2003","Currency=USD","Period=FQ","BEST_FPERIOD_OVERRIDE=FQ","FILING_STATUS=OR","FA_ADJUSTED=GAAP","Sort=A","Dates=H","DateFormat=P","Fill=—","Direction=H","UseDPDF=Y")</f>
        <v>0.63</v>
      </c>
      <c r="W34" s="17">
        <f>_xll.BDH("XOM US Equity","IS_EPS","FQ3 2003","FQ3 2003","Currency=USD","Period=FQ","BEST_FPERIOD_OVERRIDE=FQ","FILING_STATUS=OR","FA_ADJUSTED=GAAP","Sort=A","Dates=H","DateFormat=P","Fill=—","Direction=H","UseDPDF=Y")</f>
        <v>0.55000000000000004</v>
      </c>
      <c r="X34" s="17">
        <f>_xll.BDH("XOM US Equity","IS_EPS","FQ4 2003","FQ4 2003","Currency=USD","Period=FQ","BEST_FPERIOD_OVERRIDE=FQ","FILING_STATUS=OR","FA_ADJUSTED=GAAP","Sort=A","Dates=H","DateFormat=P","Fill=—","Direction=H","UseDPDF=Y")</f>
        <v>1.01</v>
      </c>
      <c r="Y34" s="17">
        <f>_xll.BDH("XOM US Equity","IS_EPS","FQ1 2004","FQ1 2004","Currency=USD","Period=FQ","BEST_FPERIOD_OVERRIDE=FQ","FILING_STATUS=OR","FA_ADJUSTED=GAAP","Sort=A","Dates=H","DateFormat=P","Fill=—","Direction=H","UseDPDF=Y")</f>
        <v>0.83</v>
      </c>
      <c r="Z34" s="17">
        <f>_xll.BDH("XOM US Equity","IS_EPS","FQ2 2004","FQ2 2004","Currency=USD","Period=FQ","BEST_FPERIOD_OVERRIDE=FQ","FILING_STATUS=OR","FA_ADJUSTED=GAAP","Sort=A","Dates=H","DateFormat=P","Fill=—","Direction=H","UseDPDF=Y")</f>
        <v>0.89</v>
      </c>
      <c r="AA34" s="17">
        <f>_xll.BDH("XOM US Equity","IS_EPS","FQ3 2004","FQ3 2004","Currency=USD","Period=FQ","BEST_FPERIOD_OVERRIDE=FQ","FILING_STATUS=OR","FA_ADJUSTED=GAAP","Sort=A","Dates=H","DateFormat=P","Fill=—","Direction=H","UseDPDF=Y")</f>
        <v>0.88</v>
      </c>
      <c r="AB34" s="17">
        <f>_xll.BDH("XOM US Equity","IS_EPS","FQ4 2004","FQ4 2004","Currency=USD","Period=FQ","BEST_FPERIOD_OVERRIDE=FQ","FILING_STATUS=OR","FA_ADJUSTED=GAAP","Sort=A","Dates=H","DateFormat=P","Fill=—","Direction=H","UseDPDF=Y")</f>
        <v>1.31</v>
      </c>
      <c r="AC34" s="17">
        <f>_xll.BDH("XOM US Equity","IS_EPS","FQ1 2005","FQ1 2005","Currency=USD","Period=FQ","BEST_FPERIOD_OVERRIDE=FQ","FILING_STATUS=OR","FA_ADJUSTED=GAAP","Sort=A","Dates=H","DateFormat=P","Fill=—","Direction=H","UseDPDF=Y")</f>
        <v>1.23</v>
      </c>
      <c r="AD34" s="17">
        <f>_xll.BDH("XOM US Equity","IS_EPS","FQ2 2005","FQ2 2005","Currency=USD","Period=FQ","BEST_FPERIOD_OVERRIDE=FQ","FILING_STATUS=OR","FA_ADJUSTED=GAAP","Sort=A","Dates=H","DateFormat=P","Fill=—","Direction=H","UseDPDF=Y")</f>
        <v>1.21</v>
      </c>
      <c r="AE34" s="17">
        <f>_xll.BDH("XOM US Equity","IS_EPS","FQ3 2005","FQ3 2005","Currency=USD","Period=FQ","BEST_FPERIOD_OVERRIDE=FQ","FILING_STATUS=OR","FA_ADJUSTED=GAAP","Sort=A","Dates=H","DateFormat=P","Fill=—","Direction=H","UseDPDF=Y")</f>
        <v>1.6</v>
      </c>
      <c r="AF34" s="17">
        <f>_xll.BDH("XOM US Equity","IS_EPS","FQ4 2005","FQ4 2005","Currency=USD","Period=FQ","BEST_FPERIOD_OVERRIDE=FQ","FILING_STATUS=OR","FA_ADJUSTED=GAAP","Sort=A","Dates=H","DateFormat=P","Fill=—","Direction=H","UseDPDF=Y")</f>
        <v>1.72</v>
      </c>
      <c r="AG34" s="17">
        <f>_xll.BDH("XOM US Equity","IS_EPS","FQ1 2006","FQ1 2006","Currency=USD","Period=FQ","BEST_FPERIOD_OVERRIDE=FQ","FILING_STATUS=OR","FA_ADJUSTED=GAAP","Sort=A","Dates=H","DateFormat=P","Fill=—","Direction=H","UseDPDF=Y")</f>
        <v>1.38</v>
      </c>
      <c r="AH34" s="17">
        <f>_xll.BDH("XOM US Equity","IS_EPS","FQ2 2006","FQ2 2006","Currency=USD","Period=FQ","BEST_FPERIOD_OVERRIDE=FQ","FILING_STATUS=OR","FA_ADJUSTED=GAAP","Sort=A","Dates=H","DateFormat=P","Fill=—","Direction=H","UseDPDF=Y")</f>
        <v>1.74</v>
      </c>
      <c r="AI34" s="17">
        <f>_xll.BDH("XOM US Equity","IS_EPS","FQ3 2006","FQ3 2006","Currency=USD","Period=FQ","BEST_FPERIOD_OVERRIDE=FQ","FILING_STATUS=OR","FA_ADJUSTED=GAAP","Sort=A","Dates=H","DateFormat=P","Fill=—","Direction=H","UseDPDF=Y")</f>
        <v>1.79</v>
      </c>
      <c r="AJ34" s="17">
        <f>_xll.BDH("XOM US Equity","IS_EPS","FQ4 2006","FQ4 2006","Currency=USD","Period=FQ","BEST_FPERIOD_OVERRIDE=FQ","FILING_STATUS=OR","FA_ADJUSTED=GAAP","Sort=A","Dates=H","DateFormat=P","Fill=—","Direction=H","UseDPDF=Y")</f>
        <v>1.77</v>
      </c>
      <c r="AK34" s="17">
        <f>_xll.BDH("XOM US Equity","IS_EPS","FQ1 2007","FQ1 2007","Currency=USD","Period=FQ","BEST_FPERIOD_OVERRIDE=FQ","FILING_STATUS=OR","FA_ADJUSTED=GAAP","Sort=A","Dates=H","DateFormat=P","Fill=—","Direction=H","UseDPDF=Y")</f>
        <v>1.6400000000000001</v>
      </c>
      <c r="AL34" s="17">
        <f>_xll.BDH("XOM US Equity","IS_EPS","FQ2 2007","FQ2 2007","Currency=USD","Period=FQ","BEST_FPERIOD_OVERRIDE=FQ","FILING_STATUS=OR","FA_ADJUSTED=GAAP","Sort=A","Dates=H","DateFormat=P","Fill=—","Direction=H","UseDPDF=Y")</f>
        <v>1.85</v>
      </c>
      <c r="AM34" s="17">
        <f>_xll.BDH("XOM US Equity","IS_EPS","FQ3 2007","FQ3 2007","Currency=USD","Period=FQ","BEST_FPERIOD_OVERRIDE=FQ","FILING_STATUS=OR","FA_ADJUSTED=GAAP","Sort=A","Dates=H","DateFormat=P","Fill=—","Direction=H","UseDPDF=Y")</f>
        <v>1.72</v>
      </c>
      <c r="AN34" s="17">
        <f>_xll.BDH("XOM US Equity","IS_EPS","FQ4 2007","FQ4 2007","Currency=USD","Period=FQ","BEST_FPERIOD_OVERRIDE=FQ","FILING_STATUS=OR","FA_ADJUSTED=GAAP","Sort=A","Dates=H","DateFormat=P","Fill=—","Direction=H","UseDPDF=Y")</f>
        <v>2.15</v>
      </c>
      <c r="AO34" s="17">
        <f>_xll.BDH("XOM US Equity","IS_EPS","FQ1 2008","FQ1 2008","Currency=USD","Period=FQ","BEST_FPERIOD_OVERRIDE=FQ","FILING_STATUS=OR","FA_ADJUSTED=GAAP","Sort=A","Dates=H","DateFormat=P","Fill=—","Direction=H","UseDPDF=Y")</f>
        <v>2.0499999999999998</v>
      </c>
      <c r="AP34" s="17">
        <f>_xll.BDH("XOM US Equity","IS_EPS","FQ2 2008","FQ2 2008","Currency=USD","Period=FQ","BEST_FPERIOD_OVERRIDE=FQ","FILING_STATUS=OR","FA_ADJUSTED=GAAP","Sort=A","Dates=H","DateFormat=P","Fill=—","Direction=H","UseDPDF=Y")</f>
        <v>2.25</v>
      </c>
    </row>
    <row r="35" spans="1:42" x14ac:dyDescent="0.25">
      <c r="A35" s="6" t="s">
        <v>137</v>
      </c>
      <c r="B35" s="6" t="s">
        <v>138</v>
      </c>
      <c r="C35" s="17">
        <f>_xll.BDH("XOM US Equity","IS_EARN_BEF_XO_ITEMS_PER_SH","FQ3 1998","FQ3 1998","Currency=USD","Period=FQ","BEST_FPERIOD_OVERRIDE=FQ","FILING_STATUS=OR","Sort=A","Dates=H","DateFormat=P","Fill=—","Direction=H","UseDPDF=Y")</f>
        <v>0.28999999999999998</v>
      </c>
      <c r="D35" s="17">
        <f>_xll.BDH("XOM US Equity","IS_EARN_BEF_XO_ITEMS_PER_SH","FQ4 1998","FQ4 1998","Currency=USD","Period=FQ","BEST_FPERIOD_OVERRIDE=FQ","FILING_STATUS=OR","Sort=A","Dates=H","DateFormat=P","Fill=—","Direction=H","UseDPDF=Y")</f>
        <v>0.315</v>
      </c>
      <c r="E35" s="17">
        <f>_xll.BDH("XOM US Equity","IS_EARN_BEF_XO_ITEMS_PER_SH","FQ1 1999","FQ1 1999","Currency=USD","Period=FQ","BEST_FPERIOD_OVERRIDE=FQ","FILING_STATUS=OR","Sort=A","Dates=H","DateFormat=P","Fill=—","Direction=H","UseDPDF=Y")</f>
        <v>0.21</v>
      </c>
      <c r="F35" s="17">
        <f>_xll.BDH("XOM US Equity","IS_EARN_BEF_XO_ITEMS_PER_SH","FQ2 1999","FQ2 1999","Currency=USD","Period=FQ","BEST_FPERIOD_OVERRIDE=FQ","FILING_STATUS=OR","Sort=A","Dates=H","DateFormat=P","Fill=—","Direction=H","UseDPDF=Y")</f>
        <v>0.25</v>
      </c>
      <c r="G35" s="17">
        <f>_xll.BDH("XOM US Equity","IS_EARN_BEF_XO_ITEMS_PER_SH","FQ3 1999","FQ3 1999","Currency=USD","Period=FQ","BEST_FPERIOD_OVERRIDE=FQ","FILING_STATUS=OR","Sort=A","Dates=H","DateFormat=P","Fill=—","Direction=H","UseDPDF=Y")</f>
        <v>0.31</v>
      </c>
      <c r="H35" s="17">
        <f>_xll.BDH("XOM US Equity","IS_EARN_BEF_XO_ITEMS_PER_SH","FQ4 1999","FQ4 1999","Currency=USD","Period=FQ","BEST_FPERIOD_OVERRIDE=FQ","FILING_STATUS=OR","Sort=A","Dates=H","DateFormat=P","Fill=—","Direction=H","UseDPDF=Y")</f>
        <v>0.6</v>
      </c>
      <c r="I35" s="17">
        <f>_xll.BDH("XOM US Equity","IS_EARN_BEF_XO_ITEMS_PER_SH","FQ1 2000","FQ1 2000","Currency=USD","Period=FQ","BEST_FPERIOD_OVERRIDE=FQ","FILING_STATUS=OR","Sort=A","Dates=H","DateFormat=P","Fill=—","Direction=H","UseDPDF=Y")</f>
        <v>0.435</v>
      </c>
      <c r="J35" s="17">
        <f>_xll.BDH("XOM US Equity","IS_EARN_BEF_XO_ITEMS_PER_SH","FQ2 2000","FQ2 2000","Currency=USD","Period=FQ","BEST_FPERIOD_OVERRIDE=FQ","FILING_STATUS=OR","Sort=A","Dates=H","DateFormat=P","Fill=—","Direction=H","UseDPDF=Y")</f>
        <v>0.57999999999999996</v>
      </c>
      <c r="K35" s="17">
        <f>_xll.BDH("XOM US Equity","IS_EARN_BEF_XO_ITEMS_PER_SH","FQ3 2000","FQ3 2000","Currency=USD","Period=FQ","BEST_FPERIOD_OVERRIDE=FQ","FILING_STATUS=OR","Sort=A","Dates=H","DateFormat=P","Fill=—","Direction=H","UseDPDF=Y")</f>
        <v>0.56999999999999995</v>
      </c>
      <c r="L35" s="17">
        <f>_xll.BDH("XOM US Equity","IS_EARN_BEF_XO_ITEMS_PER_SH","FQ4 2000","FQ4 2000","Currency=USD","Period=FQ","BEST_FPERIOD_OVERRIDE=FQ","FILING_STATUS=OR","Sort=A","Dates=H","DateFormat=P","Fill=—","Direction=H","UseDPDF=Y")</f>
        <v>0.76</v>
      </c>
      <c r="M35" s="17">
        <f>_xll.BDH("XOM US Equity","IS_EARN_BEF_XO_ITEMS_PER_SH","FQ1 2001","FQ1 2001","Currency=USD","Period=FQ","BEST_FPERIOD_OVERRIDE=FQ","FILING_STATUS=OR","Sort=A","Dates=H","DateFormat=P","Fill=—","Direction=H","UseDPDF=Y")</f>
        <v>0.71</v>
      </c>
      <c r="N35" s="17">
        <f>_xll.BDH("XOM US Equity","IS_EARN_BEF_XO_ITEMS_PER_SH","FQ2 2001","FQ2 2001","Currency=USD","Period=FQ","BEST_FPERIOD_OVERRIDE=FQ","FILING_STATUS=OR","Sort=A","Dates=H","DateFormat=P","Fill=—","Direction=H","UseDPDF=Y")</f>
        <v>0.64</v>
      </c>
      <c r="O35" s="17">
        <f>_xll.BDH("XOM US Equity","IS_EARN_BEF_XO_ITEMS_PER_SH","FQ3 2001","FQ3 2001","Currency=USD","Period=FQ","BEST_FPERIOD_OVERRIDE=FQ","FILING_STATUS=OR","Sort=A","Dates=H","DateFormat=P","Fill=—","Direction=H","UseDPDF=Y")</f>
        <v>0.46</v>
      </c>
      <c r="P35" s="17">
        <f>_xll.BDH("XOM US Equity","IS_EARN_BEF_XO_ITEMS_PER_SH","FQ4 2001","FQ4 2001","Currency=USD","Period=FQ","BEST_FPERIOD_OVERRIDE=FQ","FILING_STATUS=OR","Sort=A","Dates=H","DateFormat=P","Fill=—","Direction=H","UseDPDF=Y")</f>
        <v>0.39</v>
      </c>
      <c r="Q35" s="17">
        <f>_xll.BDH("XOM US Equity","IS_EARN_BEF_XO_ITEMS_PER_SH","FQ1 2002","FQ1 2002","Currency=USD","Period=FQ","BEST_FPERIOD_OVERRIDE=FQ","FILING_STATUS=OR","Sort=A","Dates=H","DateFormat=P","Fill=—","Direction=H","UseDPDF=Y")</f>
        <v>0.3</v>
      </c>
      <c r="R35" s="17">
        <f>_xll.BDH("XOM US Equity","IS_EARN_BEF_XO_ITEMS_PER_SH","FQ2 2002","FQ2 2002","Currency=USD","Period=FQ","BEST_FPERIOD_OVERRIDE=FQ","FILING_STATUS=OR","Sort=A","Dates=H","DateFormat=P","Fill=—","Direction=H","UseDPDF=Y")</f>
        <v>0.4</v>
      </c>
      <c r="S35" s="17">
        <f>_xll.BDH("XOM US Equity","IS_EARN_BEF_XO_ITEMS_PER_SH","FQ3 2002","FQ3 2002","Currency=USD","Period=FQ","BEST_FPERIOD_OVERRIDE=FQ","FILING_STATUS=OR","Sort=A","Dates=H","DateFormat=P","Fill=—","Direction=H","UseDPDF=Y")</f>
        <v>0.39</v>
      </c>
      <c r="T35" s="17">
        <f>_xll.BDH("XOM US Equity","IS_EARN_BEF_XO_ITEMS_PER_SH","FQ4 2002","FQ4 2002","Currency=USD","Period=FQ","BEST_FPERIOD_OVERRIDE=FQ","FILING_STATUS=OR","Sort=A","Dates=H","DateFormat=P","Fill=—","Direction=H","UseDPDF=Y")</f>
        <v>0.54</v>
      </c>
      <c r="U35" s="17">
        <f>_xll.BDH("XOM US Equity","IS_EARN_BEF_XO_ITEMS_PER_SH","FQ1 2003","FQ1 2003","Currency=USD","Period=FQ","BEST_FPERIOD_OVERRIDE=FQ","FILING_STATUS=OR","Sort=A","Dates=H","DateFormat=P","Fill=—","Direction=H","UseDPDF=Y")</f>
        <v>0.97</v>
      </c>
      <c r="V35" s="17">
        <f>_xll.BDH("XOM US Equity","IS_EARN_BEF_XO_ITEMS_PER_SH","FQ2 2003","FQ2 2003","Currency=USD","Period=FQ","BEST_FPERIOD_OVERRIDE=FQ","FILING_STATUS=OR","Sort=A","Dates=H","DateFormat=P","Fill=—","Direction=H","UseDPDF=Y")</f>
        <v>0.63</v>
      </c>
      <c r="W35" s="17">
        <f>_xll.BDH("XOM US Equity","IS_EARN_BEF_XO_ITEMS_PER_SH","FQ3 2003","FQ3 2003","Currency=USD","Period=FQ","BEST_FPERIOD_OVERRIDE=FQ","FILING_STATUS=OR","Sort=A","Dates=H","DateFormat=P","Fill=—","Direction=H","UseDPDF=Y")</f>
        <v>0.55000000000000004</v>
      </c>
      <c r="X35" s="17">
        <f>_xll.BDH("XOM US Equity","IS_EARN_BEF_XO_ITEMS_PER_SH","FQ4 2003","FQ4 2003","Currency=USD","Period=FQ","BEST_FPERIOD_OVERRIDE=FQ","FILING_STATUS=OR","Sort=A","Dates=H","DateFormat=P","Fill=—","Direction=H","UseDPDF=Y")</f>
        <v>1.01</v>
      </c>
      <c r="Y35" s="17">
        <f>_xll.BDH("XOM US Equity","IS_EARN_BEF_XO_ITEMS_PER_SH","FQ1 2004","FQ1 2004","Currency=USD","Period=FQ","BEST_FPERIOD_OVERRIDE=FQ","FILING_STATUS=OR","Sort=A","Dates=H","DateFormat=P","Fill=—","Direction=H","UseDPDF=Y")</f>
        <v>0.83</v>
      </c>
      <c r="Z35" s="17">
        <f>_xll.BDH("XOM US Equity","IS_EARN_BEF_XO_ITEMS_PER_SH","FQ2 2004","FQ2 2004","Currency=USD","Period=FQ","BEST_FPERIOD_OVERRIDE=FQ","FILING_STATUS=OR","Sort=A","Dates=H","DateFormat=P","Fill=—","Direction=H","UseDPDF=Y")</f>
        <v>0.89</v>
      </c>
      <c r="AA35" s="17">
        <f>_xll.BDH("XOM US Equity","IS_EARN_BEF_XO_ITEMS_PER_SH","FQ3 2004","FQ3 2004","Currency=USD","Period=FQ","BEST_FPERIOD_OVERRIDE=FQ","FILING_STATUS=OR","Sort=A","Dates=H","DateFormat=P","Fill=—","Direction=H","UseDPDF=Y")</f>
        <v>0.88</v>
      </c>
      <c r="AB35" s="17">
        <f>_xll.BDH("XOM US Equity","IS_EARN_BEF_XO_ITEMS_PER_SH","FQ4 2004","FQ4 2004","Currency=USD","Period=FQ","BEST_FPERIOD_OVERRIDE=FQ","FILING_STATUS=OR","Sort=A","Dates=H","DateFormat=P","Fill=—","Direction=H","UseDPDF=Y")</f>
        <v>1.31</v>
      </c>
      <c r="AC35" s="17">
        <f>_xll.BDH("XOM US Equity","IS_EARN_BEF_XO_ITEMS_PER_SH","FQ1 2005","FQ1 2005","Currency=USD","Period=FQ","BEST_FPERIOD_OVERRIDE=FQ","FILING_STATUS=OR","Sort=A","Dates=H","DateFormat=P","Fill=—","Direction=H","UseDPDF=Y")</f>
        <v>1.23</v>
      </c>
      <c r="AD35" s="17">
        <f>_xll.BDH("XOM US Equity","IS_EARN_BEF_XO_ITEMS_PER_SH","FQ2 2005","FQ2 2005","Currency=USD","Period=FQ","BEST_FPERIOD_OVERRIDE=FQ","FILING_STATUS=OR","Sort=A","Dates=H","DateFormat=P","Fill=—","Direction=H","UseDPDF=Y")</f>
        <v>1.21</v>
      </c>
      <c r="AE35" s="17">
        <f>_xll.BDH("XOM US Equity","IS_EARN_BEF_XO_ITEMS_PER_SH","FQ3 2005","FQ3 2005","Currency=USD","Period=FQ","BEST_FPERIOD_OVERRIDE=FQ","FILING_STATUS=OR","Sort=A","Dates=H","DateFormat=P","Fill=—","Direction=H","UseDPDF=Y")</f>
        <v>1.6</v>
      </c>
      <c r="AF35" s="17">
        <f>_xll.BDH("XOM US Equity","IS_EARN_BEF_XO_ITEMS_PER_SH","FQ4 2005","FQ4 2005","Currency=USD","Period=FQ","BEST_FPERIOD_OVERRIDE=FQ","FILING_STATUS=OR","Sort=A","Dates=H","DateFormat=P","Fill=—","Direction=H","UseDPDF=Y")</f>
        <v>1.72</v>
      </c>
      <c r="AG35" s="17">
        <f>_xll.BDH("XOM US Equity","IS_EARN_BEF_XO_ITEMS_PER_SH","FQ1 2006","FQ1 2006","Currency=USD","Period=FQ","BEST_FPERIOD_OVERRIDE=FQ","FILING_STATUS=OR","Sort=A","Dates=H","DateFormat=P","Fill=—","Direction=H","UseDPDF=Y")</f>
        <v>1.38</v>
      </c>
      <c r="AH35" s="17">
        <f>_xll.BDH("XOM US Equity","IS_EARN_BEF_XO_ITEMS_PER_SH","FQ2 2006","FQ2 2006","Currency=USD","Period=FQ","BEST_FPERIOD_OVERRIDE=FQ","FILING_STATUS=OR","Sort=A","Dates=H","DateFormat=P","Fill=—","Direction=H","UseDPDF=Y")</f>
        <v>1.74</v>
      </c>
      <c r="AI35" s="17">
        <f>_xll.BDH("XOM US Equity","IS_EARN_BEF_XO_ITEMS_PER_SH","FQ3 2006","FQ3 2006","Currency=USD","Period=FQ","BEST_FPERIOD_OVERRIDE=FQ","FILING_STATUS=OR","Sort=A","Dates=H","DateFormat=P","Fill=—","Direction=H","UseDPDF=Y")</f>
        <v>1.79</v>
      </c>
      <c r="AJ35" s="17">
        <f>_xll.BDH("XOM US Equity","IS_EARN_BEF_XO_ITEMS_PER_SH","FQ4 2006","FQ4 2006","Currency=USD","Period=FQ","BEST_FPERIOD_OVERRIDE=FQ","FILING_STATUS=OR","Sort=A","Dates=H","DateFormat=P","Fill=—","Direction=H","UseDPDF=Y")</f>
        <v>1.77</v>
      </c>
      <c r="AK35" s="17">
        <f>_xll.BDH("XOM US Equity","IS_EARN_BEF_XO_ITEMS_PER_SH","FQ1 2007","FQ1 2007","Currency=USD","Period=FQ","BEST_FPERIOD_OVERRIDE=FQ","FILING_STATUS=OR","Sort=A","Dates=H","DateFormat=P","Fill=—","Direction=H","UseDPDF=Y")</f>
        <v>1.6400000000000001</v>
      </c>
      <c r="AL35" s="17">
        <f>_xll.BDH("XOM US Equity","IS_EARN_BEF_XO_ITEMS_PER_SH","FQ2 2007","FQ2 2007","Currency=USD","Period=FQ","BEST_FPERIOD_OVERRIDE=FQ","FILING_STATUS=OR","Sort=A","Dates=H","DateFormat=P","Fill=—","Direction=H","UseDPDF=Y")</f>
        <v>1.85</v>
      </c>
      <c r="AM35" s="17">
        <f>_xll.BDH("XOM US Equity","IS_EARN_BEF_XO_ITEMS_PER_SH","FQ3 2007","FQ3 2007","Currency=USD","Period=FQ","BEST_FPERIOD_OVERRIDE=FQ","FILING_STATUS=OR","Sort=A","Dates=H","DateFormat=P","Fill=—","Direction=H","UseDPDF=Y")</f>
        <v>1.72</v>
      </c>
      <c r="AN35" s="17">
        <f>_xll.BDH("XOM US Equity","IS_EARN_BEF_XO_ITEMS_PER_SH","FQ4 2007","FQ4 2007","Currency=USD","Period=FQ","BEST_FPERIOD_OVERRIDE=FQ","FILING_STATUS=OR","Sort=A","Dates=H","DateFormat=P","Fill=—","Direction=H","UseDPDF=Y")</f>
        <v>2.15</v>
      </c>
      <c r="AO35" s="17">
        <f>_xll.BDH("XOM US Equity","IS_EARN_BEF_XO_ITEMS_PER_SH","FQ1 2008","FQ1 2008","Currency=USD","Period=FQ","BEST_FPERIOD_OVERRIDE=FQ","FILING_STATUS=OR","Sort=A","Dates=H","DateFormat=P","Fill=—","Direction=H","UseDPDF=Y")</f>
        <v>2.0499999999999998</v>
      </c>
      <c r="AP35" s="17">
        <f>_xll.BDH("XOM US Equity","IS_EARN_BEF_XO_ITEMS_PER_SH","FQ2 2008","FQ2 2008","Currency=USD","Period=FQ","BEST_FPERIOD_OVERRIDE=FQ","FILING_STATUS=OR","Sort=A","Dates=H","DateFormat=P","Fill=—","Direction=H","UseDPDF=Y")</f>
        <v>2.25</v>
      </c>
    </row>
    <row r="36" spans="1:42" x14ac:dyDescent="0.25">
      <c r="A36" s="6" t="s">
        <v>139</v>
      </c>
      <c r="B36" s="6" t="s">
        <v>140</v>
      </c>
      <c r="C36" s="17">
        <f>_xll.BDH("XOM US Equity","IS_BASIC_EPS_CONT_OPS","FQ3 1998","FQ3 1998","Currency=USD","Period=FQ","BEST_FPERIOD_OVERRIDE=FQ","FILING_STATUS=OR","Sort=A","Dates=H","DateFormat=P","Fill=—","Direction=H","UseDPDF=Y")</f>
        <v>0.28999999999999998</v>
      </c>
      <c r="D36" s="17">
        <f>_xll.BDH("XOM US Equity","IS_BASIC_EPS_CONT_OPS","FQ4 1998","FQ4 1998","Currency=USD","Period=FQ","BEST_FPERIOD_OVERRIDE=FQ","FILING_STATUS=OR","Sort=A","Dates=H","DateFormat=P","Fill=—","Direction=H","UseDPDF=Y")</f>
        <v>0.315</v>
      </c>
      <c r="E36" s="17">
        <f>_xll.BDH("XOM US Equity","IS_BASIC_EPS_CONT_OPS","FQ1 1999","FQ1 1999","Currency=USD","Period=FQ","BEST_FPERIOD_OVERRIDE=FQ","FILING_STATUS=OR","Sort=A","Dates=H","DateFormat=P","Fill=—","Direction=H","UseDPDF=Y")</f>
        <v>0.21</v>
      </c>
      <c r="F36" s="17">
        <f>_xll.BDH("XOM US Equity","IS_BASIC_EPS_CONT_OPS","FQ2 1999","FQ2 1999","Currency=USD","Period=FQ","BEST_FPERIOD_OVERRIDE=FQ","FILING_STATUS=OR","Sort=A","Dates=H","DateFormat=P","Fill=—","Direction=H","UseDPDF=Y")</f>
        <v>0.25</v>
      </c>
      <c r="G36" s="17">
        <f>_xll.BDH("XOM US Equity","IS_BASIC_EPS_CONT_OPS","FQ3 1999","FQ3 1999","Currency=USD","Period=FQ","BEST_FPERIOD_OVERRIDE=FQ","FILING_STATUS=OR","Sort=A","Dates=H","DateFormat=P","Fill=—","Direction=H","UseDPDF=Y")</f>
        <v>0.31</v>
      </c>
      <c r="H36" s="17">
        <f>_xll.BDH("XOM US Equity","IS_BASIC_EPS_CONT_OPS","FQ4 1999","FQ4 1999","Currency=USD","Period=FQ","BEST_FPERIOD_OVERRIDE=FQ","FILING_STATUS=OR","Sort=A","Dates=H","DateFormat=P","Fill=—","Direction=H","UseDPDF=Y")</f>
        <v>0.64500000000000002</v>
      </c>
      <c r="I36" s="17">
        <f>_xll.BDH("XOM US Equity","IS_BASIC_EPS_CONT_OPS","FQ1 2000","FQ1 2000","Currency=USD","Period=FQ","BEST_FPERIOD_OVERRIDE=FQ","FILING_STATUS=OR","Sort=A","Dates=H","DateFormat=P","Fill=—","Direction=H","UseDPDF=Y")</f>
        <v>0.48</v>
      </c>
      <c r="J36" s="17">
        <f>_xll.BDH("XOM US Equity","IS_BASIC_EPS_CONT_OPS","FQ2 2000","FQ2 2000","Currency=USD","Period=FQ","BEST_FPERIOD_OVERRIDE=FQ","FILING_STATUS=OR","Sort=A","Dates=H","DateFormat=P","Fill=—","Direction=H","UseDPDF=Y")</f>
        <v>0.60499999999999998</v>
      </c>
      <c r="K36" s="17">
        <f>_xll.BDH("XOM US Equity","IS_BASIC_EPS_CONT_OPS","FQ3 2000","FQ3 2000","Currency=USD","Period=FQ","BEST_FPERIOD_OVERRIDE=FQ","FILING_STATUS=OR","Sort=A","Dates=H","DateFormat=P","Fill=—","Direction=H","UseDPDF=Y")</f>
        <v>0.6</v>
      </c>
      <c r="L36" s="17">
        <f>_xll.BDH("XOM US Equity","IS_BASIC_EPS_CONT_OPS","FQ4 2000","FQ4 2000","Currency=USD","Period=FQ","BEST_FPERIOD_OVERRIDE=FQ","FILING_STATUS=OR","Sort=A","Dates=H","DateFormat=P","Fill=—","Direction=H","UseDPDF=Y")</f>
        <v>0.745</v>
      </c>
      <c r="M36" s="17">
        <f>_xll.BDH("XOM US Equity","IS_BASIC_EPS_CONT_OPS","FQ1 2001","FQ1 2001","Currency=USD","Period=FQ","BEST_FPERIOD_OVERRIDE=FQ","FILING_STATUS=OR","Sort=A","Dates=H","DateFormat=P","Fill=—","Direction=H","UseDPDF=Y")</f>
        <v>0.72</v>
      </c>
      <c r="N36" s="17">
        <f>_xll.BDH("XOM US Equity","IS_BASIC_EPS_CONT_OPS","FQ2 2001","FQ2 2001","Currency=USD","Period=FQ","BEST_FPERIOD_OVERRIDE=FQ","FILING_STATUS=OR","Sort=A","Dates=H","DateFormat=P","Fill=—","Direction=H","UseDPDF=Y")</f>
        <v>0.64</v>
      </c>
      <c r="O36" s="17">
        <f>_xll.BDH("XOM US Equity","IS_BASIC_EPS_CONT_OPS","FQ3 2001","FQ3 2001","Currency=USD","Period=FQ","BEST_FPERIOD_OVERRIDE=FQ","FILING_STATUS=OR","Sort=A","Dates=H","DateFormat=P","Fill=—","Direction=H","UseDPDF=Y")</f>
        <v>0.46</v>
      </c>
      <c r="P36" s="17">
        <f>_xll.BDH("XOM US Equity","IS_BASIC_EPS_CONT_OPS","FQ4 2001","FQ4 2001","Currency=USD","Period=FQ","BEST_FPERIOD_OVERRIDE=FQ","FILING_STATUS=OR","Sort=A","Dates=H","DateFormat=P","Fill=—","Direction=H","UseDPDF=Y")</f>
        <v>0.44</v>
      </c>
      <c r="Q36" s="17">
        <f>_xll.BDH("XOM US Equity","IS_BASIC_EPS_CONT_OPS","FQ1 2002","FQ1 2002","Currency=USD","Period=FQ","BEST_FPERIOD_OVERRIDE=FQ","FILING_STATUS=OR","Sort=A","Dates=H","DateFormat=P","Fill=—","Direction=H","UseDPDF=Y")</f>
        <v>0.31</v>
      </c>
      <c r="R36" s="17">
        <f>_xll.BDH("XOM US Equity","IS_BASIC_EPS_CONT_OPS","FQ2 2002","FQ2 2002","Currency=USD","Period=FQ","BEST_FPERIOD_OVERRIDE=FQ","FILING_STATUS=OR","Sort=A","Dates=H","DateFormat=P","Fill=—","Direction=H","UseDPDF=Y")</f>
        <v>0.4</v>
      </c>
      <c r="S36" s="17">
        <f>_xll.BDH("XOM US Equity","IS_BASIC_EPS_CONT_OPS","FQ3 2002","FQ3 2002","Currency=USD","Period=FQ","BEST_FPERIOD_OVERRIDE=FQ","FILING_STATUS=OR","Sort=A","Dates=H","DateFormat=P","Fill=—","Direction=H","UseDPDF=Y")</f>
        <v>0.44</v>
      </c>
      <c r="T36" s="17">
        <f>_xll.BDH("XOM US Equity","IS_BASIC_EPS_CONT_OPS","FQ4 2002","FQ4 2002","Currency=USD","Period=FQ","BEST_FPERIOD_OVERRIDE=FQ","FILING_STATUS=OR","Sort=A","Dates=H","DateFormat=P","Fill=—","Direction=H","UseDPDF=Y")</f>
        <v>0.56000000000000005</v>
      </c>
      <c r="U36" s="17">
        <f>_xll.BDH("XOM US Equity","IS_BASIC_EPS_CONT_OPS","FQ1 2003","FQ1 2003","Currency=USD","Period=FQ","BEST_FPERIOD_OVERRIDE=FQ","FILING_STATUS=OR","Sort=A","Dates=H","DateFormat=P","Fill=—","Direction=H","UseDPDF=Y")</f>
        <v>0.71699999999999997</v>
      </c>
      <c r="V36" s="17">
        <f>_xll.BDH("XOM US Equity","IS_BASIC_EPS_CONT_OPS","FQ2 2003","FQ2 2003","Currency=USD","Period=FQ","BEST_FPERIOD_OVERRIDE=FQ","FILING_STATUS=OR","Sort=A","Dates=H","DateFormat=P","Fill=—","Direction=H","UseDPDF=Y")</f>
        <v>0.63</v>
      </c>
      <c r="W36" s="17">
        <f>_xll.BDH("XOM US Equity","IS_BASIC_EPS_CONT_OPS","FQ3 2003","FQ3 2003","Currency=USD","Period=FQ","BEST_FPERIOD_OVERRIDE=FQ","FILING_STATUS=OR","Sort=A","Dates=H","DateFormat=P","Fill=—","Direction=H","UseDPDF=Y")</f>
        <v>0.55000000000000004</v>
      </c>
      <c r="X36" s="17">
        <f>_xll.BDH("XOM US Equity","IS_BASIC_EPS_CONT_OPS","FQ4 2003","FQ4 2003","Currency=USD","Period=FQ","BEST_FPERIOD_OVERRIDE=FQ","FILING_STATUS=OR","Sort=A","Dates=H","DateFormat=P","Fill=—","Direction=H","UseDPDF=Y")</f>
        <v>0.67200000000000004</v>
      </c>
      <c r="Y36" s="17">
        <f>_xll.BDH("XOM US Equity","IS_BASIC_EPS_CONT_OPS","FQ1 2004","FQ1 2004","Currency=USD","Period=FQ","BEST_FPERIOD_OVERRIDE=FQ","FILING_STATUS=OR","Sort=A","Dates=H","DateFormat=P","Fill=—","Direction=H","UseDPDF=Y")</f>
        <v>0.83</v>
      </c>
      <c r="Z36" s="17">
        <f>_xll.BDH("XOM US Equity","IS_BASIC_EPS_CONT_OPS","FQ2 2004","FQ2 2004","Currency=USD","Period=FQ","BEST_FPERIOD_OVERRIDE=FQ","FILING_STATUS=OR","Sort=A","Dates=H","DateFormat=P","Fill=—","Direction=H","UseDPDF=Y")</f>
        <v>0.89</v>
      </c>
      <c r="AA36" s="17">
        <f>_xll.BDH("XOM US Equity","IS_BASIC_EPS_CONT_OPS","FQ3 2004","FQ3 2004","Currency=USD","Period=FQ","BEST_FPERIOD_OVERRIDE=FQ","FILING_STATUS=OR","Sort=A","Dates=H","DateFormat=P","Fill=—","Direction=H","UseDPDF=Y")</f>
        <v>0.96</v>
      </c>
      <c r="AB36" s="17">
        <f>_xll.BDH("XOM US Equity","IS_BASIC_EPS_CONT_OPS","FQ4 2004","FQ4 2004","Currency=USD","Period=FQ","BEST_FPERIOD_OVERRIDE=FQ","FILING_STATUS=OR","Sort=A","Dates=H","DateFormat=P","Fill=—","Direction=H","UseDPDF=Y")</f>
        <v>1.31</v>
      </c>
      <c r="AC36" s="17">
        <f>_xll.BDH("XOM US Equity","IS_BASIC_EPS_CONT_OPS","FQ1 2005","FQ1 2005","Currency=USD","Period=FQ","BEST_FPERIOD_OVERRIDE=FQ","FILING_STATUS=OR","Sort=A","Dates=H","DateFormat=P","Fill=—","Direction=H","UseDPDF=Y")</f>
        <v>1.1599999999999999</v>
      </c>
      <c r="AD36" s="17">
        <f>_xll.BDH("XOM US Equity","IS_BASIC_EPS_CONT_OPS","FQ2 2005","FQ2 2005","Currency=USD","Period=FQ","BEST_FPERIOD_OVERRIDE=FQ","FILING_STATUS=OR","Sort=A","Dates=H","DateFormat=P","Fill=—","Direction=H","UseDPDF=Y")</f>
        <v>1.24</v>
      </c>
      <c r="AE36" s="17">
        <f>_xll.BDH("XOM US Equity","IS_BASIC_EPS_CONT_OPS","FQ3 2005","FQ3 2005","Currency=USD","Period=FQ","BEST_FPERIOD_OVERRIDE=FQ","FILING_STATUS=OR","Sort=A","Dates=H","DateFormat=P","Fill=—","Direction=H","UseDPDF=Y")</f>
        <v>1.34</v>
      </c>
      <c r="AF36" s="17">
        <f>_xll.BDH("XOM US Equity","IS_BASIC_EPS_CONT_OPS","FQ4 2005","FQ4 2005","Currency=USD","Period=FQ","BEST_FPERIOD_OVERRIDE=FQ","FILING_STATUS=OR","Sort=A","Dates=H","DateFormat=P","Fill=—","Direction=H","UseDPDF=Y")</f>
        <v>1.6600000000000001</v>
      </c>
      <c r="AG36" s="17">
        <f>_xll.BDH("XOM US Equity","IS_BASIC_EPS_CONT_OPS","FQ1 2006","FQ1 2006","Currency=USD","Period=FQ","BEST_FPERIOD_OVERRIDE=FQ","FILING_STATUS=OR","Sort=A","Dates=H","DateFormat=P","Fill=—","Direction=H","UseDPDF=Y")</f>
        <v>1.38</v>
      </c>
      <c r="AH36" s="17">
        <f>_xll.BDH("XOM US Equity","IS_BASIC_EPS_CONT_OPS","FQ2 2006","FQ2 2006","Currency=USD","Period=FQ","BEST_FPERIOD_OVERRIDE=FQ","FILING_STATUS=OR","Sort=A","Dates=H","DateFormat=P","Fill=—","Direction=H","UseDPDF=Y")</f>
        <v>1.74</v>
      </c>
      <c r="AI36" s="17">
        <f>_xll.BDH("XOM US Equity","IS_BASIC_EPS_CONT_OPS","FQ3 2006","FQ3 2006","Currency=USD","Period=FQ","BEST_FPERIOD_OVERRIDE=FQ","FILING_STATUS=OR","Sort=A","Dates=H","DateFormat=P","Fill=—","Direction=H","UseDPDF=Y")</f>
        <v>1.79</v>
      </c>
      <c r="AJ36" s="17">
        <f>_xll.BDH("XOM US Equity","IS_BASIC_EPS_CONT_OPS","FQ4 2006","FQ4 2006","Currency=USD","Period=FQ","BEST_FPERIOD_OVERRIDE=FQ","FILING_STATUS=OR","Sort=A","Dates=H","DateFormat=P","Fill=—","Direction=H","UseDPDF=Y")</f>
        <v>1.7</v>
      </c>
      <c r="AK36" s="17">
        <f>_xll.BDH("XOM US Equity","IS_BASIC_EPS_CONT_OPS","FQ1 2007","FQ1 2007","Currency=USD","Period=FQ","BEST_FPERIOD_OVERRIDE=FQ","FILING_STATUS=OR","Sort=A","Dates=H","DateFormat=P","Fill=—","Direction=H","UseDPDF=Y")</f>
        <v>1.6400000000000001</v>
      </c>
      <c r="AL36" s="17">
        <f>_xll.BDH("XOM US Equity","IS_BASIC_EPS_CONT_OPS","FQ2 2007","FQ2 2007","Currency=USD","Period=FQ","BEST_FPERIOD_OVERRIDE=FQ","FILING_STATUS=OR","Sort=A","Dates=H","DateFormat=P","Fill=—","Direction=H","UseDPDF=Y")</f>
        <v>1.85</v>
      </c>
      <c r="AM36" s="17">
        <f>_xll.BDH("XOM US Equity","IS_BASIC_EPS_CONT_OPS","FQ3 2007","FQ3 2007","Currency=USD","Period=FQ","BEST_FPERIOD_OVERRIDE=FQ","FILING_STATUS=OR","Sort=A","Dates=H","DateFormat=P","Fill=—","Direction=H","UseDPDF=Y")</f>
        <v>1.72</v>
      </c>
      <c r="AN36" s="17">
        <f>_xll.BDH("XOM US Equity","IS_BASIC_EPS_CONT_OPS","FQ4 2007","FQ4 2007","Currency=USD","Period=FQ","BEST_FPERIOD_OVERRIDE=FQ","FILING_STATUS=OR","Sort=A","Dates=H","DateFormat=P","Fill=—","Direction=H","UseDPDF=Y")</f>
        <v>2.15</v>
      </c>
      <c r="AO36" s="17">
        <f>_xll.BDH("XOM US Equity","IS_BASIC_EPS_CONT_OPS","FQ1 2008","FQ1 2008","Currency=USD","Period=FQ","BEST_FPERIOD_OVERRIDE=FQ","FILING_STATUS=OR","Sort=A","Dates=H","DateFormat=P","Fill=—","Direction=H","UseDPDF=Y")</f>
        <v>2.0499999999999998</v>
      </c>
      <c r="AP36" s="17">
        <f>_xll.BDH("XOM US Equity","IS_BASIC_EPS_CONT_OPS","FQ2 2008","FQ2 2008","Currency=USD","Period=FQ","BEST_FPERIOD_OVERRIDE=FQ","FILING_STATUS=OR","Sort=A","Dates=H","DateFormat=P","Fill=—","Direction=H","UseDPDF=Y")</f>
        <v>2.31</v>
      </c>
    </row>
    <row r="37" spans="1:42" x14ac:dyDescent="0.25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s="10" t="s">
        <v>141</v>
      </c>
      <c r="B38" s="10" t="s">
        <v>142</v>
      </c>
      <c r="C38" s="13">
        <f>_xll.BDH("XOM US Equity","IS_SH_FOR_DILUTED_EPS","FQ3 1998","FQ3 1998","Currency=USD","Period=FQ","BEST_FPERIOD_OVERRIDE=FQ","FILING_STATUS=OR","Sort=A","Dates=H","DateFormat=P","Fill=—","Direction=H","UseDPDF=Y")</f>
        <v>4930</v>
      </c>
      <c r="D38" s="13">
        <f>_xll.BDH("XOM US Equity","IS_SH_FOR_DILUTED_EPS","FQ4 1998","FQ4 1998","Currency=USD","Period=FQ","BEST_FPERIOD_OVERRIDE=FQ","FILING_STATUS=OR","Sort=A","Dates=H","DateFormat=P","Fill=—","Direction=H","UseDPDF=Y")</f>
        <v>4916</v>
      </c>
      <c r="E38" s="13">
        <f>_xll.BDH("XOM US Equity","IS_SH_FOR_DILUTED_EPS","FQ1 1999","FQ1 1999","Currency=USD","Period=FQ","BEST_FPERIOD_OVERRIDE=FQ","FILING_STATUS=OR","Sort=A","Dates=H","DateFormat=P","Fill=—","Direction=H","UseDPDF=Y")</f>
        <v>4910</v>
      </c>
      <c r="F38" s="13">
        <f>_xll.BDH("XOM US Equity","IS_SH_FOR_DILUTED_EPS","FQ2 1999","FQ2 1999","Currency=USD","Period=FQ","BEST_FPERIOD_OVERRIDE=FQ","FILING_STATUS=OR","Sort=A","Dates=H","DateFormat=P","Fill=—","Direction=H","UseDPDF=Y")</f>
        <v>4914</v>
      </c>
      <c r="G38" s="13">
        <f>_xll.BDH("XOM US Equity","IS_SH_FOR_DILUTED_EPS","FQ3 1999","FQ3 1999","Currency=USD","Period=FQ","BEST_FPERIOD_OVERRIDE=FQ","FILING_STATUS=OR","Sort=A","Dates=H","DateFormat=P","Fill=—","Direction=H","UseDPDF=Y")</f>
        <v>4912</v>
      </c>
      <c r="H38" s="13">
        <f>_xll.BDH("XOM US Equity","IS_SH_FOR_DILUTED_EPS","FQ4 1999","FQ4 1999","Currency=USD","Period=FQ","BEST_FPERIOD_OVERRIDE=FQ","FILING_STATUS=OR","Sort=A","Dates=H","DateFormat=P","Fill=—","Direction=H","UseDPDF=Y")</f>
        <v>6906</v>
      </c>
      <c r="I38" s="13">
        <f>_xll.BDH("XOM US Equity","IS_SH_FOR_DILUTED_EPS","FQ1 2000","FQ1 2000","Currency=USD","Period=FQ","BEST_FPERIOD_OVERRIDE=FQ","FILING_STATUS=OR","Sort=A","Dates=H","DateFormat=P","Fill=—","Direction=H","UseDPDF=Y")</f>
        <v>7044</v>
      </c>
      <c r="J38" s="13">
        <f>_xll.BDH("XOM US Equity","IS_SH_FOR_DILUTED_EPS","FQ2 2000","FQ2 2000","Currency=USD","Period=FQ","BEST_FPERIOD_OVERRIDE=FQ","FILING_STATUS=OR","Sort=A","Dates=H","DateFormat=P","Fill=—","Direction=H","UseDPDF=Y")</f>
        <v>7049</v>
      </c>
      <c r="K38" s="13">
        <f>_xll.BDH("XOM US Equity","IS_SH_FOR_DILUTED_EPS","FQ3 2000","FQ3 2000","Currency=USD","Period=FQ","BEST_FPERIOD_OVERRIDE=FQ","FILING_STATUS=OR","Sort=A","Dates=H","DateFormat=P","Fill=—","Direction=H","UseDPDF=Y")</f>
        <v>7043</v>
      </c>
      <c r="L38" s="13">
        <f>_xll.BDH("XOM US Equity","IS_SH_FOR_DILUTED_EPS","FQ4 2000","FQ4 2000","Currency=USD","Period=FQ","BEST_FPERIOD_OVERRIDE=FQ","FILING_STATUS=OR","Sort=A","Dates=H","DateFormat=P","Fill=—","Direction=H","UseDPDF=Y")</f>
        <v>7027</v>
      </c>
      <c r="M38" s="13">
        <f>_xll.BDH("XOM US Equity","IS_SH_FOR_DILUTED_EPS","FQ1 2001","FQ1 2001","Currency=USD","Period=FQ","BEST_FPERIOD_OVERRIDE=FQ","FILING_STATUS=OR","Sort=A","Dates=H","DateFormat=P","Fill=—","Direction=H","UseDPDF=Y")</f>
        <v>6989</v>
      </c>
      <c r="N38" s="13">
        <f>_xll.BDH("XOM US Equity","IS_SH_FOR_DILUTED_EPS","FQ2 2001","FQ2 2001","Currency=USD","Period=FQ","BEST_FPERIOD_OVERRIDE=FQ","FILING_STATUS=OR","Sort=A","Dates=H","DateFormat=P","Fill=—","Direction=H","UseDPDF=Y")</f>
        <v>6963</v>
      </c>
      <c r="O38" s="13">
        <f>_xll.BDH("XOM US Equity","IS_SH_FOR_DILUTED_EPS","FQ3 2001","FQ3 2001","Currency=USD","Period=FQ","BEST_FPERIOD_OVERRIDE=FQ","FILING_STATUS=OR","Sort=A","Dates=H","DateFormat=P","Fill=—","Direction=H","UseDPDF=Y")</f>
        <v>6924</v>
      </c>
      <c r="P38" s="13">
        <f>_xll.BDH("XOM US Equity","IS_SH_FOR_DILUTED_EPS","FQ4 2001","FQ4 2001","Currency=USD","Period=FQ","BEST_FPERIOD_OVERRIDE=FQ","FILING_STATUS=OR","Sort=A","Dates=H","DateFormat=P","Fill=—","Direction=H","UseDPDF=Y")</f>
        <v>6889</v>
      </c>
      <c r="Q38" s="13">
        <f>_xll.BDH("XOM US Equity","IS_SH_FOR_DILUTED_EPS","FQ1 2002","FQ1 2002","Currency=USD","Period=FQ","BEST_FPERIOD_OVERRIDE=FQ","FILING_STATUS=OR","Sort=A","Dates=H","DateFormat=P","Fill=—","Direction=H","UseDPDF=Y")</f>
        <v>6858</v>
      </c>
      <c r="R38" s="13">
        <f>_xll.BDH("XOM US Equity","IS_SH_FOR_DILUTED_EPS","FQ2 2002","FQ2 2002","Currency=USD","Period=FQ","BEST_FPERIOD_OVERRIDE=FQ","FILING_STATUS=OR","Sort=A","Dates=H","DateFormat=P","Fill=—","Direction=H","UseDPDF=Y")</f>
        <v>6831</v>
      </c>
      <c r="S38" s="13">
        <f>_xll.BDH("XOM US Equity","IS_SH_FOR_DILUTED_EPS","FQ3 2002","FQ3 2002","Currency=USD","Period=FQ","BEST_FPERIOD_OVERRIDE=FQ","FILING_STATUS=OR","Sort=A","Dates=H","DateFormat=P","Fill=—","Direction=H","UseDPDF=Y")</f>
        <v>6787</v>
      </c>
      <c r="T38" s="13">
        <f>_xll.BDH("XOM US Equity","IS_SH_FOR_DILUTED_EPS","FQ4 2002","FQ4 2002","Currency=USD","Period=FQ","BEST_FPERIOD_OVERRIDE=FQ","FILING_STATUS=OR","Sort=A","Dates=H","DateFormat=P","Fill=—","Direction=H","UseDPDF=Y")</f>
        <v>6755</v>
      </c>
      <c r="U38" s="13">
        <f>_xll.BDH("XOM US Equity","IS_SH_FOR_DILUTED_EPS","FQ1 2003","FQ1 2003","Currency=USD","Period=FQ","BEST_FPERIOD_OVERRIDE=FQ","FILING_STATUS=OR","Sort=A","Dates=H","DateFormat=P","Fill=—","Direction=H","UseDPDF=Y")</f>
        <v>6714</v>
      </c>
      <c r="V38" s="13">
        <f>_xll.BDH("XOM US Equity","IS_SH_FOR_DILUTED_EPS","FQ2 2003","FQ2 2003","Currency=USD","Period=FQ","BEST_FPERIOD_OVERRIDE=FQ","FILING_STATUS=OR","Sort=A","Dates=H","DateFormat=P","Fill=—","Direction=H","UseDPDF=Y")</f>
        <v>6687</v>
      </c>
      <c r="W38" s="13">
        <f>_xll.BDH("XOM US Equity","IS_SH_FOR_DILUTED_EPS","FQ3 2003","FQ3 2003","Currency=USD","Period=FQ","BEST_FPERIOD_OVERRIDE=FQ","FILING_STATUS=OR","Sort=A","Dates=H","DateFormat=P","Fill=—","Direction=H","UseDPDF=Y")</f>
        <v>6652</v>
      </c>
      <c r="X38" s="13">
        <f>_xll.BDH("XOM US Equity","IS_SH_FOR_DILUTED_EPS","FQ4 2003","FQ4 2003","Currency=USD","Period=FQ","BEST_FPERIOD_OVERRIDE=FQ","FILING_STATUS=OR","Sort=A","Dates=H","DateFormat=P","Fill=—","Direction=H","UseDPDF=Y")</f>
        <v>6612</v>
      </c>
      <c r="Y38" s="13">
        <f>_xll.BDH("XOM US Equity","IS_SH_FOR_DILUTED_EPS","FQ1 2004","FQ1 2004","Currency=USD","Period=FQ","BEST_FPERIOD_OVERRIDE=FQ","FILING_STATUS=OR","Sort=A","Dates=H","DateFormat=P","Fill=—","Direction=H","UseDPDF=Y")</f>
        <v>6582</v>
      </c>
      <c r="Z38" s="13">
        <f>_xll.BDH("XOM US Equity","IS_SH_FOR_DILUTED_EPS","FQ2 2004","FQ2 2004","Currency=USD","Period=FQ","BEST_FPERIOD_OVERRIDE=FQ","FILING_STATUS=OR","Sort=A","Dates=H","DateFormat=P","Fill=—","Direction=H","UseDPDF=Y")</f>
        <v>6547</v>
      </c>
      <c r="AA38" s="13">
        <f>_xll.BDH("XOM US Equity","IS_SH_FOR_DILUTED_EPS","FQ3 2004","FQ3 2004","Currency=USD","Period=FQ","BEST_FPERIOD_OVERRIDE=FQ","FILING_STATUS=OR","Sort=A","Dates=H","DateFormat=P","Fill=—","Direction=H","UseDPDF=Y")</f>
        <v>6508</v>
      </c>
      <c r="AB38" s="13">
        <f>_xll.BDH("XOM US Equity","IS_SH_FOR_DILUTED_EPS","FQ4 2004","FQ4 2004","Currency=USD","Period=FQ","BEST_FPERIOD_OVERRIDE=FQ","FILING_STATUS=OR","Sort=A","Dates=H","DateFormat=P","Fill=—","Direction=H","UseDPDF=Y")</f>
        <v>6461</v>
      </c>
      <c r="AC38" s="13">
        <f>_xll.BDH("XOM US Equity","IS_SH_FOR_DILUTED_EPS","FQ1 2005","FQ1 2005","Currency=USD","Period=FQ","BEST_FPERIOD_OVERRIDE=FQ","FILING_STATUS=OR","Sort=A","Dates=H","DateFormat=P","Fill=—","Direction=H","UseDPDF=Y")</f>
        <v>6421</v>
      </c>
      <c r="AD38" s="13">
        <f>_xll.BDH("XOM US Equity","IS_SH_FOR_DILUTED_EPS","FQ2 2005","FQ2 2005","Currency=USD","Period=FQ","BEST_FPERIOD_OVERRIDE=FQ","FILING_STATUS=OR","Sort=A","Dates=H","DateFormat=P","Fill=—","Direction=H","UseDPDF=Y")</f>
        <v>6370</v>
      </c>
      <c r="AE38" s="13">
        <f>_xll.BDH("XOM US Equity","IS_SH_FOR_DILUTED_EPS","FQ3 2005","FQ3 2005","Currency=USD","Period=FQ","BEST_FPERIOD_OVERRIDE=FQ","FILING_STATUS=OR","Sort=A","Dates=H","DateFormat=P","Fill=—","Direction=H","UseDPDF=Y")</f>
        <v>6303</v>
      </c>
      <c r="AF38" s="13">
        <f>_xll.BDH("XOM US Equity","IS_SH_FOR_DILUTED_EPS","FQ4 2005","FQ4 2005","Currency=USD","Period=FQ","BEST_FPERIOD_OVERRIDE=FQ","FILING_STATUS=OR","Sort=A","Dates=H","DateFormat=P","Fill=—","Direction=H","UseDPDF=Y")</f>
        <v>6263</v>
      </c>
      <c r="AG38" s="13">
        <f>_xll.BDH("XOM US Equity","IS_SH_FOR_DILUTED_EPS","FQ1 2006","FQ1 2006","Currency=USD","Period=FQ","BEST_FPERIOD_OVERRIDE=FQ","FILING_STATUS=OR","Sort=A","Dates=H","DateFormat=P","Fill=—","Direction=H","UseDPDF=Y")</f>
        <v>6126</v>
      </c>
      <c r="AH38" s="13">
        <f>_xll.BDH("XOM US Equity","IS_SH_FOR_DILUTED_EPS","FQ2 2006","FQ2 2006","Currency=USD","Period=FQ","BEST_FPERIOD_OVERRIDE=FQ","FILING_STATUS=OR","Sort=A","Dates=H","DateFormat=P","Fill=—","Direction=H","UseDPDF=Y")</f>
        <v>6030</v>
      </c>
      <c r="AI38" s="13">
        <f>_xll.BDH("XOM US Equity","IS_SH_FOR_DILUTED_EPS","FQ3 2006","FQ3 2006","Currency=USD","Period=FQ","BEST_FPERIOD_OVERRIDE=FQ","FILING_STATUS=OR","Sort=A","Dates=H","DateFormat=P","Fill=—","Direction=H","UseDPDF=Y")</f>
        <v>5922</v>
      </c>
      <c r="AJ38" s="13">
        <f>_xll.BDH("XOM US Equity","IS_SH_FOR_DILUTED_EPS","FQ4 2006","FQ4 2006","Currency=USD","Period=FQ","BEST_FPERIOD_OVERRIDE=FQ","FILING_STATUS=OR","Sort=A","Dates=H","DateFormat=P","Fill=—","Direction=H","UseDPDF=Y")</f>
        <v>5823.86</v>
      </c>
      <c r="AK38" s="13">
        <f>_xll.BDH("XOM US Equity","IS_SH_FOR_DILUTED_EPS","FQ1 2007","FQ1 2007","Currency=USD","Period=FQ","BEST_FPERIOD_OVERRIDE=FQ","FILING_STATUS=OR","Sort=A","Dates=H","DateFormat=P","Fill=—","Direction=H","UseDPDF=Y")</f>
        <v>5714</v>
      </c>
      <c r="AL38" s="13">
        <f>_xll.BDH("XOM US Equity","IS_SH_FOR_DILUTED_EPS","FQ2 2007","FQ2 2007","Currency=USD","Period=FQ","BEST_FPERIOD_OVERRIDE=FQ","FILING_STATUS=OR","Sort=A","Dates=H","DateFormat=P","Fill=—","Direction=H","UseDPDF=Y")</f>
        <v>5620</v>
      </c>
      <c r="AM38" s="13">
        <f>_xll.BDH("XOM US Equity","IS_SH_FOR_DILUTED_EPS","FQ3 2007","FQ3 2007","Currency=USD","Period=FQ","BEST_FPERIOD_OVERRIDE=FQ","FILING_STATUS=OR","Sort=A","Dates=H","DateFormat=P","Fill=—","Direction=H","UseDPDF=Y")</f>
        <v>5536</v>
      </c>
      <c r="AN38" s="13">
        <f>_xll.BDH("XOM US Equity","IS_SH_FOR_DILUTED_EPS","FQ4 2007","FQ4 2007","Currency=USD","Period=FQ","BEST_FPERIOD_OVERRIDE=FQ","FILING_STATUS=OR","Sort=A","Dates=H","DateFormat=P","Fill=—","Direction=H","UseDPDF=Y")</f>
        <v>5454</v>
      </c>
      <c r="AO38" s="13">
        <f>_xll.BDH("XOM US Equity","IS_SH_FOR_DILUTED_EPS","FQ1 2008","FQ1 2008","Currency=USD","Period=FQ","BEST_FPERIOD_OVERRIDE=FQ","FILING_STATUS=OR","Sort=A","Dates=H","DateFormat=P","Fill=—","Direction=H","UseDPDF=Y")</f>
        <v>5362</v>
      </c>
      <c r="AP38" s="13">
        <f>_xll.BDH("XOM US Equity","IS_SH_FOR_DILUTED_EPS","FQ2 2008","FQ2 2008","Currency=USD","Period=FQ","BEST_FPERIOD_OVERRIDE=FQ","FILING_STATUS=OR","Sort=A","Dates=H","DateFormat=P","Fill=—","Direction=H","UseDPDF=Y")</f>
        <v>5261</v>
      </c>
    </row>
    <row r="39" spans="1:42" x14ac:dyDescent="0.25">
      <c r="A39" s="6" t="s">
        <v>143</v>
      </c>
      <c r="B39" s="6" t="s">
        <v>144</v>
      </c>
      <c r="C39" s="17">
        <f>_xll.BDH("XOM US Equity","IS_DILUTED_EPS","FQ3 1998","FQ3 1998","Currency=USD","Period=FQ","BEST_FPERIOD_OVERRIDE=FQ","FILING_STATUS=OR","FA_ADJUSTED=GAAP","Sort=A","Dates=H","DateFormat=P","Fill=—","Direction=H","UseDPDF=Y")</f>
        <v>0.28999999999999998</v>
      </c>
      <c r="D39" s="17">
        <f>_xll.BDH("XOM US Equity","IS_DILUTED_EPS","FQ4 1998","FQ4 1998","Currency=USD","Period=FQ","BEST_FPERIOD_OVERRIDE=FQ","FILING_STATUS=OR","FA_ADJUSTED=GAAP","Sort=A","Dates=H","DateFormat=P","Fill=—","Direction=H","UseDPDF=Y")</f>
        <v>0.31</v>
      </c>
      <c r="E39" s="17">
        <f>_xll.BDH("XOM US Equity","IS_DILUTED_EPS","FQ1 1999","FQ1 1999","Currency=USD","Period=FQ","BEST_FPERIOD_OVERRIDE=FQ","FILING_STATUS=OR","FA_ADJUSTED=GAAP","Sort=A","Dates=H","DateFormat=P","Fill=—","Direction=H","UseDPDF=Y")</f>
        <v>0.21</v>
      </c>
      <c r="F39" s="17">
        <f>_xll.BDH("XOM US Equity","IS_DILUTED_EPS","FQ2 1999","FQ2 1999","Currency=USD","Period=FQ","BEST_FPERIOD_OVERRIDE=FQ","FILING_STATUS=OR","FA_ADJUSTED=GAAP","Sort=A","Dates=H","DateFormat=P","Fill=—","Direction=H","UseDPDF=Y")</f>
        <v>0.245</v>
      </c>
      <c r="G39" s="17">
        <f>_xll.BDH("XOM US Equity","IS_DILUTED_EPS","FQ3 1999","FQ3 1999","Currency=USD","Period=FQ","BEST_FPERIOD_OVERRIDE=FQ","FILING_STATUS=OR","FA_ADJUSTED=GAAP","Sort=A","Dates=H","DateFormat=P","Fill=—","Direction=H","UseDPDF=Y")</f>
        <v>0.30499999999999999</v>
      </c>
      <c r="H39" s="17">
        <f>_xll.BDH("XOM US Equity","IS_DILUTED_EPS","FQ4 1999","FQ4 1999","Currency=USD","Period=FQ","BEST_FPERIOD_OVERRIDE=FQ","FILING_STATUS=OR","FA_ADJUSTED=GAAP","Sort=A","Dates=H","DateFormat=P","Fill=—","Direction=H","UseDPDF=Y")</f>
        <v>0.6</v>
      </c>
      <c r="I39" s="17">
        <f>_xll.BDH("XOM US Equity","IS_DILUTED_EPS","FQ1 2000","FQ1 2000","Currency=USD","Period=FQ","BEST_FPERIOD_OVERRIDE=FQ","FILING_STATUS=OR","FA_ADJUSTED=GAAP","Sort=A","Dates=H","DateFormat=P","Fill=—","Direction=H","UseDPDF=Y")</f>
        <v>0.495</v>
      </c>
      <c r="J39" s="17">
        <f>_xll.BDH("XOM US Equity","IS_DILUTED_EPS","FQ2 2000","FQ2 2000","Currency=USD","Period=FQ","BEST_FPERIOD_OVERRIDE=FQ","FILING_STATUS=OR","FA_ADJUSTED=GAAP","Sort=A","Dates=H","DateFormat=P","Fill=—","Direction=H","UseDPDF=Y")</f>
        <v>0.65</v>
      </c>
      <c r="K39" s="17">
        <f>_xll.BDH("XOM US Equity","IS_DILUTED_EPS","FQ3 2000","FQ3 2000","Currency=USD","Period=FQ","BEST_FPERIOD_OVERRIDE=FQ","FILING_STATUS=OR","FA_ADJUSTED=GAAP","Sort=A","Dates=H","DateFormat=P","Fill=—","Direction=H","UseDPDF=Y")</f>
        <v>0.63</v>
      </c>
      <c r="L39" s="17">
        <f>_xll.BDH("XOM US Equity","IS_DILUTED_EPS","FQ4 2000","FQ4 2000","Currency=USD","Period=FQ","BEST_FPERIOD_OVERRIDE=FQ","FILING_STATUS=OR","FA_ADJUSTED=GAAP","Sort=A","Dates=H","DateFormat=P","Fill=—","Direction=H","UseDPDF=Y")</f>
        <v>0.76</v>
      </c>
      <c r="M39" s="17">
        <f>_xll.BDH("XOM US Equity","IS_DILUTED_EPS","FQ1 2001","FQ1 2001","Currency=USD","Period=FQ","BEST_FPERIOD_OVERRIDE=FQ","FILING_STATUS=OR","FA_ADJUSTED=GAAP","Sort=A","Dates=H","DateFormat=P","Fill=—","Direction=H","UseDPDF=Y")</f>
        <v>0.71</v>
      </c>
      <c r="N39" s="17">
        <f>_xll.BDH("XOM US Equity","IS_DILUTED_EPS","FQ2 2001","FQ2 2001","Currency=USD","Period=FQ","BEST_FPERIOD_OVERRIDE=FQ","FILING_STATUS=OR","FA_ADJUSTED=GAAP","Sort=A","Dates=H","DateFormat=P","Fill=—","Direction=H","UseDPDF=Y")</f>
        <v>0.65</v>
      </c>
      <c r="O39" s="17">
        <f>_xll.BDH("XOM US Equity","IS_DILUTED_EPS","FQ3 2001","FQ3 2001","Currency=USD","Period=FQ","BEST_FPERIOD_OVERRIDE=FQ","FILING_STATUS=OR","FA_ADJUSTED=GAAP","Sort=A","Dates=H","DateFormat=P","Fill=—","Direction=H","UseDPDF=Y")</f>
        <v>0.46</v>
      </c>
      <c r="P39" s="17">
        <f>_xll.BDH("XOM US Equity","IS_DILUTED_EPS","FQ4 2001","FQ4 2001","Currency=USD","Period=FQ","BEST_FPERIOD_OVERRIDE=FQ","FILING_STATUS=OR","FA_ADJUSTED=GAAP","Sort=A","Dates=H","DateFormat=P","Fill=—","Direction=H","UseDPDF=Y")</f>
        <v>0.39</v>
      </c>
      <c r="Q39" s="17">
        <f>_xll.BDH("XOM US Equity","IS_DILUTED_EPS","FQ1 2002","FQ1 2002","Currency=USD","Period=FQ","BEST_FPERIOD_OVERRIDE=FQ","FILING_STATUS=OR","FA_ADJUSTED=GAAP","Sort=A","Dates=H","DateFormat=P","Fill=—","Direction=H","UseDPDF=Y")</f>
        <v>0.3</v>
      </c>
      <c r="R39" s="17">
        <f>_xll.BDH("XOM US Equity","IS_DILUTED_EPS","FQ2 2002","FQ2 2002","Currency=USD","Period=FQ","BEST_FPERIOD_OVERRIDE=FQ","FILING_STATUS=OR","FA_ADJUSTED=GAAP","Sort=A","Dates=H","DateFormat=P","Fill=—","Direction=H","UseDPDF=Y")</f>
        <v>0.39</v>
      </c>
      <c r="S39" s="17">
        <f>_xll.BDH("XOM US Equity","IS_DILUTED_EPS","FQ3 2002","FQ3 2002","Currency=USD","Period=FQ","BEST_FPERIOD_OVERRIDE=FQ","FILING_STATUS=OR","FA_ADJUSTED=GAAP","Sort=A","Dates=H","DateFormat=P","Fill=—","Direction=H","UseDPDF=Y")</f>
        <v>0.39</v>
      </c>
      <c r="T39" s="17">
        <f>_xll.BDH("XOM US Equity","IS_DILUTED_EPS","FQ4 2002","FQ4 2002","Currency=USD","Period=FQ","BEST_FPERIOD_OVERRIDE=FQ","FILING_STATUS=OR","FA_ADJUSTED=GAAP","Sort=A","Dates=H","DateFormat=P","Fill=—","Direction=H","UseDPDF=Y")</f>
        <v>0.6</v>
      </c>
      <c r="U39" s="17">
        <f>_xll.BDH("XOM US Equity","IS_DILUTED_EPS","FQ1 2003","FQ1 2003","Currency=USD","Period=FQ","BEST_FPERIOD_OVERRIDE=FQ","FILING_STATUS=OR","FA_ADJUSTED=GAAP","Sort=A","Dates=H","DateFormat=P","Fill=—","Direction=H","UseDPDF=Y")</f>
        <v>1.05</v>
      </c>
      <c r="V39" s="17">
        <f>_xll.BDH("XOM US Equity","IS_DILUTED_EPS","FQ2 2003","FQ2 2003","Currency=USD","Period=FQ","BEST_FPERIOD_OVERRIDE=FQ","FILING_STATUS=OR","FA_ADJUSTED=GAAP","Sort=A","Dates=H","DateFormat=P","Fill=—","Direction=H","UseDPDF=Y")</f>
        <v>0.62</v>
      </c>
      <c r="W39" s="17">
        <f>_xll.BDH("XOM US Equity","IS_DILUTED_EPS","FQ3 2003","FQ3 2003","Currency=USD","Period=FQ","BEST_FPERIOD_OVERRIDE=FQ","FILING_STATUS=OR","FA_ADJUSTED=GAAP","Sort=A","Dates=H","DateFormat=P","Fill=—","Direction=H","UseDPDF=Y")</f>
        <v>0.55000000000000004</v>
      </c>
      <c r="X39" s="17">
        <f>_xll.BDH("XOM US Equity","IS_DILUTED_EPS","FQ4 2003","FQ4 2003","Currency=USD","Period=FQ","BEST_FPERIOD_OVERRIDE=FQ","FILING_STATUS=OR","FA_ADJUSTED=GAAP","Sort=A","Dates=H","DateFormat=P","Fill=—","Direction=H","UseDPDF=Y")</f>
        <v>1.01</v>
      </c>
      <c r="Y39" s="17">
        <f>_xll.BDH("XOM US Equity","IS_DILUTED_EPS","FQ1 2004","FQ1 2004","Currency=USD","Period=FQ","BEST_FPERIOD_OVERRIDE=FQ","FILING_STATUS=OR","FA_ADJUSTED=GAAP","Sort=A","Dates=H","DateFormat=P","Fill=—","Direction=H","UseDPDF=Y")</f>
        <v>0.83</v>
      </c>
      <c r="Z39" s="17">
        <f>_xll.BDH("XOM US Equity","IS_DILUTED_EPS","FQ2 2004","FQ2 2004","Currency=USD","Period=FQ","BEST_FPERIOD_OVERRIDE=FQ","FILING_STATUS=OR","FA_ADJUSTED=GAAP","Sort=A","Dates=H","DateFormat=P","Fill=—","Direction=H","UseDPDF=Y")</f>
        <v>0.88</v>
      </c>
      <c r="AA39" s="17">
        <f>_xll.BDH("XOM US Equity","IS_DILUTED_EPS","FQ3 2004","FQ3 2004","Currency=USD","Period=FQ","BEST_FPERIOD_OVERRIDE=FQ","FILING_STATUS=OR","FA_ADJUSTED=GAAP","Sort=A","Dates=H","DateFormat=P","Fill=—","Direction=H","UseDPDF=Y")</f>
        <v>0.88</v>
      </c>
      <c r="AB39" s="17">
        <f>_xll.BDH("XOM US Equity","IS_DILUTED_EPS","FQ4 2004","FQ4 2004","Currency=USD","Period=FQ","BEST_FPERIOD_OVERRIDE=FQ","FILING_STATUS=OR","FA_ADJUSTED=GAAP","Sort=A","Dates=H","DateFormat=P","Fill=—","Direction=H","UseDPDF=Y")</f>
        <v>1.3</v>
      </c>
      <c r="AC39" s="17">
        <f>_xll.BDH("XOM US Equity","IS_DILUTED_EPS","FQ1 2005","FQ1 2005","Currency=USD","Period=FQ","BEST_FPERIOD_OVERRIDE=FQ","FILING_STATUS=OR","FA_ADJUSTED=GAAP","Sort=A","Dates=H","DateFormat=P","Fill=—","Direction=H","UseDPDF=Y")</f>
        <v>1.22</v>
      </c>
      <c r="AD39" s="17">
        <f>_xll.BDH("XOM US Equity","IS_DILUTED_EPS","FQ2 2005","FQ2 2005","Currency=USD","Period=FQ","BEST_FPERIOD_OVERRIDE=FQ","FILING_STATUS=OR","FA_ADJUSTED=GAAP","Sort=A","Dates=H","DateFormat=P","Fill=—","Direction=H","UseDPDF=Y")</f>
        <v>1.2</v>
      </c>
      <c r="AE39" s="17">
        <f>_xll.BDH("XOM US Equity","IS_DILUTED_EPS","FQ3 2005","FQ3 2005","Currency=USD","Period=FQ","BEST_FPERIOD_OVERRIDE=FQ","FILING_STATUS=OR","FA_ADJUSTED=GAAP","Sort=A","Dates=H","DateFormat=P","Fill=—","Direction=H","UseDPDF=Y")</f>
        <v>1.58</v>
      </c>
      <c r="AF39" s="17">
        <f>_xll.BDH("XOM US Equity","IS_DILUTED_EPS","FQ4 2005","FQ4 2005","Currency=USD","Period=FQ","BEST_FPERIOD_OVERRIDE=FQ","FILING_STATUS=OR","FA_ADJUSTED=GAAP","Sort=A","Dates=H","DateFormat=P","Fill=—","Direction=H","UseDPDF=Y")</f>
        <v>1.71</v>
      </c>
      <c r="AG39" s="17">
        <f>_xll.BDH("XOM US Equity","IS_DILUTED_EPS","FQ1 2006","FQ1 2006","Currency=USD","Period=FQ","BEST_FPERIOD_OVERRIDE=FQ","FILING_STATUS=OR","FA_ADJUSTED=GAAP","Sort=A","Dates=H","DateFormat=P","Fill=—","Direction=H","UseDPDF=Y")</f>
        <v>1.37</v>
      </c>
      <c r="AH39" s="17">
        <f>_xll.BDH("XOM US Equity","IS_DILUTED_EPS","FQ2 2006","FQ2 2006","Currency=USD","Period=FQ","BEST_FPERIOD_OVERRIDE=FQ","FILING_STATUS=OR","FA_ADJUSTED=GAAP","Sort=A","Dates=H","DateFormat=P","Fill=—","Direction=H","UseDPDF=Y")</f>
        <v>1.72</v>
      </c>
      <c r="AI39" s="17">
        <f>_xll.BDH("XOM US Equity","IS_DILUTED_EPS","FQ3 2006","FQ3 2006","Currency=USD","Period=FQ","BEST_FPERIOD_OVERRIDE=FQ","FILING_STATUS=OR","FA_ADJUSTED=GAAP","Sort=A","Dates=H","DateFormat=P","Fill=—","Direction=H","UseDPDF=Y")</f>
        <v>1.77</v>
      </c>
      <c r="AJ39" s="17">
        <f>_xll.BDH("XOM US Equity","IS_DILUTED_EPS","FQ4 2006","FQ4 2006","Currency=USD","Period=FQ","BEST_FPERIOD_OVERRIDE=FQ","FILING_STATUS=OR","FA_ADJUSTED=GAAP","Sort=A","Dates=H","DateFormat=P","Fill=—","Direction=H","UseDPDF=Y")</f>
        <v>1.76</v>
      </c>
      <c r="AK39" s="17">
        <f>_xll.BDH("XOM US Equity","IS_DILUTED_EPS","FQ1 2007","FQ1 2007","Currency=USD","Period=FQ","BEST_FPERIOD_OVERRIDE=FQ","FILING_STATUS=OR","FA_ADJUSTED=GAAP","Sort=A","Dates=H","DateFormat=P","Fill=—","Direction=H","UseDPDF=Y")</f>
        <v>1.62</v>
      </c>
      <c r="AL39" s="17">
        <f>_xll.BDH("XOM US Equity","IS_DILUTED_EPS","FQ2 2007","FQ2 2007","Currency=USD","Period=FQ","BEST_FPERIOD_OVERRIDE=FQ","FILING_STATUS=OR","FA_ADJUSTED=GAAP","Sort=A","Dates=H","DateFormat=P","Fill=—","Direction=H","UseDPDF=Y")</f>
        <v>1.83</v>
      </c>
      <c r="AM39" s="17">
        <f>_xll.BDH("XOM US Equity","IS_DILUTED_EPS","FQ3 2007","FQ3 2007","Currency=USD","Period=FQ","BEST_FPERIOD_OVERRIDE=FQ","FILING_STATUS=OR","FA_ADJUSTED=GAAP","Sort=A","Dates=H","DateFormat=P","Fill=—","Direction=H","UseDPDF=Y")</f>
        <v>1.7</v>
      </c>
      <c r="AN39" s="17">
        <f>_xll.BDH("XOM US Equity","IS_DILUTED_EPS","FQ4 2007","FQ4 2007","Currency=USD","Period=FQ","BEST_FPERIOD_OVERRIDE=FQ","FILING_STATUS=OR","FA_ADJUSTED=GAAP","Sort=A","Dates=H","DateFormat=P","Fill=—","Direction=H","UseDPDF=Y")</f>
        <v>2.13</v>
      </c>
      <c r="AO39" s="17">
        <f>_xll.BDH("XOM US Equity","IS_DILUTED_EPS","FQ1 2008","FQ1 2008","Currency=USD","Period=FQ","BEST_FPERIOD_OVERRIDE=FQ","FILING_STATUS=OR","FA_ADJUSTED=GAAP","Sort=A","Dates=H","DateFormat=P","Fill=—","Direction=H","UseDPDF=Y")</f>
        <v>2.0299999999999998</v>
      </c>
      <c r="AP39" s="17">
        <f>_xll.BDH("XOM US Equity","IS_DILUTED_EPS","FQ2 2008","FQ2 2008","Currency=USD","Period=FQ","BEST_FPERIOD_OVERRIDE=FQ","FILING_STATUS=OR","FA_ADJUSTED=GAAP","Sort=A","Dates=H","DateFormat=P","Fill=—","Direction=H","UseDPDF=Y")</f>
        <v>2.2200000000000002</v>
      </c>
    </row>
    <row r="40" spans="1:42" x14ac:dyDescent="0.25">
      <c r="A40" s="6" t="s">
        <v>145</v>
      </c>
      <c r="B40" s="6" t="s">
        <v>146</v>
      </c>
      <c r="C40" s="17">
        <f>_xll.BDH("XOM US Equity","IS_DIL_EPS_BEF_XO","FQ3 1998","FQ3 1998","Currency=USD","Period=FQ","BEST_FPERIOD_OVERRIDE=FQ","FILING_STATUS=OR","Sort=A","Dates=H","DateFormat=P","Fill=—","Direction=H","UseDPDF=Y")</f>
        <v>0.28999999999999998</v>
      </c>
      <c r="D40" s="17">
        <f>_xll.BDH("XOM US Equity","IS_DIL_EPS_BEF_XO","FQ4 1998","FQ4 1998","Currency=USD","Period=FQ","BEST_FPERIOD_OVERRIDE=FQ","FILING_STATUS=OR","Sort=A","Dates=H","DateFormat=P","Fill=—","Direction=H","UseDPDF=Y")</f>
        <v>0.31</v>
      </c>
      <c r="E40" s="17">
        <f>_xll.BDH("XOM US Equity","IS_DIL_EPS_BEF_XO","FQ1 1999","FQ1 1999","Currency=USD","Period=FQ","BEST_FPERIOD_OVERRIDE=FQ","FILING_STATUS=OR","Sort=A","Dates=H","DateFormat=P","Fill=—","Direction=H","UseDPDF=Y")</f>
        <v>0.21</v>
      </c>
      <c r="F40" s="17">
        <f>_xll.BDH("XOM US Equity","IS_DIL_EPS_BEF_XO","FQ2 1999","FQ2 1999","Currency=USD","Period=FQ","BEST_FPERIOD_OVERRIDE=FQ","FILING_STATUS=OR","Sort=A","Dates=H","DateFormat=P","Fill=—","Direction=H","UseDPDF=Y")</f>
        <v>0.245</v>
      </c>
      <c r="G40" s="17">
        <f>_xll.BDH("XOM US Equity","IS_DIL_EPS_BEF_XO","FQ3 1999","FQ3 1999","Currency=USD","Period=FQ","BEST_FPERIOD_OVERRIDE=FQ","FILING_STATUS=OR","Sort=A","Dates=H","DateFormat=P","Fill=—","Direction=H","UseDPDF=Y")</f>
        <v>0.30499999999999999</v>
      </c>
      <c r="H40" s="17">
        <f>_xll.BDH("XOM US Equity","IS_DIL_EPS_BEF_XO","FQ4 1999","FQ4 1999","Currency=USD","Period=FQ","BEST_FPERIOD_OVERRIDE=FQ","FILING_STATUS=OR","Sort=A","Dates=H","DateFormat=P","Fill=—","Direction=H","UseDPDF=Y")</f>
        <v>0.6</v>
      </c>
      <c r="I40" s="17">
        <f>_xll.BDH("XOM US Equity","IS_DIL_EPS_BEF_XO","FQ1 2000","FQ1 2000","Currency=USD","Period=FQ","BEST_FPERIOD_OVERRIDE=FQ","FILING_STATUS=OR","Sort=A","Dates=H","DateFormat=P","Fill=—","Direction=H","UseDPDF=Y")</f>
        <v>0.43</v>
      </c>
      <c r="J40" s="17">
        <f>_xll.BDH("XOM US Equity","IS_DIL_EPS_BEF_XO","FQ2 2000","FQ2 2000","Currency=USD","Period=FQ","BEST_FPERIOD_OVERRIDE=FQ","FILING_STATUS=OR","Sort=A","Dates=H","DateFormat=P","Fill=—","Direction=H","UseDPDF=Y")</f>
        <v>0.56999999999999995</v>
      </c>
      <c r="K40" s="17">
        <f>_xll.BDH("XOM US Equity","IS_DIL_EPS_BEF_XO","FQ3 2000","FQ3 2000","Currency=USD","Period=FQ","BEST_FPERIOD_OVERRIDE=FQ","FILING_STATUS=OR","Sort=A","Dates=H","DateFormat=P","Fill=—","Direction=H","UseDPDF=Y")</f>
        <v>0.56999999999999995</v>
      </c>
      <c r="L40" s="17">
        <f>_xll.BDH("XOM US Equity","IS_DIL_EPS_BEF_XO","FQ4 2000","FQ4 2000","Currency=USD","Period=FQ","BEST_FPERIOD_OVERRIDE=FQ","FILING_STATUS=OR","Sort=A","Dates=H","DateFormat=P","Fill=—","Direction=H","UseDPDF=Y")</f>
        <v>0.76</v>
      </c>
      <c r="M40" s="17">
        <f>_xll.BDH("XOM US Equity","IS_DIL_EPS_BEF_XO","FQ1 2001","FQ1 2001","Currency=USD","Period=FQ","BEST_FPERIOD_OVERRIDE=FQ","FILING_STATUS=OR","Sort=A","Dates=H","DateFormat=P","Fill=—","Direction=H","UseDPDF=Y")</f>
        <v>0.7</v>
      </c>
      <c r="N40" s="17">
        <f>_xll.BDH("XOM US Equity","IS_DIL_EPS_BEF_XO","FQ2 2001","FQ2 2001","Currency=USD","Period=FQ","BEST_FPERIOD_OVERRIDE=FQ","FILING_STATUS=OR","Sort=A","Dates=H","DateFormat=P","Fill=—","Direction=H","UseDPDF=Y")</f>
        <v>0.63</v>
      </c>
      <c r="O40" s="17">
        <f>_xll.BDH("XOM US Equity","IS_DIL_EPS_BEF_XO","FQ3 2001","FQ3 2001","Currency=USD","Period=FQ","BEST_FPERIOD_OVERRIDE=FQ","FILING_STATUS=OR","Sort=A","Dates=H","DateFormat=P","Fill=—","Direction=H","UseDPDF=Y")</f>
        <v>0.46</v>
      </c>
      <c r="P40" s="17">
        <f>_xll.BDH("XOM US Equity","IS_DIL_EPS_BEF_XO","FQ4 2001","FQ4 2001","Currency=USD","Period=FQ","BEST_FPERIOD_OVERRIDE=FQ","FILING_STATUS=OR","Sort=A","Dates=H","DateFormat=P","Fill=—","Direction=H","UseDPDF=Y")</f>
        <v>0.39</v>
      </c>
      <c r="Q40" s="17">
        <f>_xll.BDH("XOM US Equity","IS_DIL_EPS_BEF_XO","FQ1 2002","FQ1 2002","Currency=USD","Period=FQ","BEST_FPERIOD_OVERRIDE=FQ","FILING_STATUS=OR","Sort=A","Dates=H","DateFormat=P","Fill=—","Direction=H","UseDPDF=Y")</f>
        <v>0.3</v>
      </c>
      <c r="R40" s="17">
        <f>_xll.BDH("XOM US Equity","IS_DIL_EPS_BEF_XO","FQ2 2002","FQ2 2002","Currency=USD","Period=FQ","BEST_FPERIOD_OVERRIDE=FQ","FILING_STATUS=OR","Sort=A","Dates=H","DateFormat=P","Fill=—","Direction=H","UseDPDF=Y")</f>
        <v>0.39</v>
      </c>
      <c r="S40" s="17">
        <f>_xll.BDH("XOM US Equity","IS_DIL_EPS_BEF_XO","FQ3 2002","FQ3 2002","Currency=USD","Period=FQ","BEST_FPERIOD_OVERRIDE=FQ","FILING_STATUS=OR","Sort=A","Dates=H","DateFormat=P","Fill=—","Direction=H","UseDPDF=Y")</f>
        <v>0.39</v>
      </c>
      <c r="T40" s="17">
        <f>_xll.BDH("XOM US Equity","IS_DIL_EPS_BEF_XO","FQ4 2002","FQ4 2002","Currency=USD","Period=FQ","BEST_FPERIOD_OVERRIDE=FQ","FILING_STATUS=OR","Sort=A","Dates=H","DateFormat=P","Fill=—","Direction=H","UseDPDF=Y")</f>
        <v>0.54</v>
      </c>
      <c r="U40" s="17">
        <f>_xll.BDH("XOM US Equity","IS_DIL_EPS_BEF_XO","FQ1 2003","FQ1 2003","Currency=USD","Period=FQ","BEST_FPERIOD_OVERRIDE=FQ","FILING_STATUS=OR","Sort=A","Dates=H","DateFormat=P","Fill=—","Direction=H","UseDPDF=Y")</f>
        <v>0.97</v>
      </c>
      <c r="V40" s="17">
        <f>_xll.BDH("XOM US Equity","IS_DIL_EPS_BEF_XO","FQ2 2003","FQ2 2003","Currency=USD","Period=FQ","BEST_FPERIOD_OVERRIDE=FQ","FILING_STATUS=OR","Sort=A","Dates=H","DateFormat=P","Fill=—","Direction=H","UseDPDF=Y")</f>
        <v>0.62</v>
      </c>
      <c r="W40" s="17">
        <f>_xll.BDH("XOM US Equity","IS_DIL_EPS_BEF_XO","FQ3 2003","FQ3 2003","Currency=USD","Period=FQ","BEST_FPERIOD_OVERRIDE=FQ","FILING_STATUS=OR","Sort=A","Dates=H","DateFormat=P","Fill=—","Direction=H","UseDPDF=Y")</f>
        <v>0.55000000000000004</v>
      </c>
      <c r="X40" s="17">
        <f>_xll.BDH("XOM US Equity","IS_DIL_EPS_BEF_XO","FQ4 2003","FQ4 2003","Currency=USD","Period=FQ","BEST_FPERIOD_OVERRIDE=FQ","FILING_STATUS=OR","Sort=A","Dates=H","DateFormat=P","Fill=—","Direction=H","UseDPDF=Y")</f>
        <v>1.01</v>
      </c>
      <c r="Y40" s="17">
        <f>_xll.BDH("XOM US Equity","IS_DIL_EPS_BEF_XO","FQ1 2004","FQ1 2004","Currency=USD","Period=FQ","BEST_FPERIOD_OVERRIDE=FQ","FILING_STATUS=OR","Sort=A","Dates=H","DateFormat=P","Fill=—","Direction=H","UseDPDF=Y")</f>
        <v>0.83</v>
      </c>
      <c r="Z40" s="17">
        <f>_xll.BDH("XOM US Equity","IS_DIL_EPS_BEF_XO","FQ2 2004","FQ2 2004","Currency=USD","Period=FQ","BEST_FPERIOD_OVERRIDE=FQ","FILING_STATUS=OR","Sort=A","Dates=H","DateFormat=P","Fill=—","Direction=H","UseDPDF=Y")</f>
        <v>0.88</v>
      </c>
      <c r="AA40" s="17">
        <f>_xll.BDH("XOM US Equity","IS_DIL_EPS_BEF_XO","FQ3 2004","FQ3 2004","Currency=USD","Period=FQ","BEST_FPERIOD_OVERRIDE=FQ","FILING_STATUS=OR","Sort=A","Dates=H","DateFormat=P","Fill=—","Direction=H","UseDPDF=Y")</f>
        <v>0.88</v>
      </c>
      <c r="AB40" s="17">
        <f>_xll.BDH("XOM US Equity","IS_DIL_EPS_BEF_XO","FQ4 2004","FQ4 2004","Currency=USD","Period=FQ","BEST_FPERIOD_OVERRIDE=FQ","FILING_STATUS=OR","Sort=A","Dates=H","DateFormat=P","Fill=—","Direction=H","UseDPDF=Y")</f>
        <v>1.3</v>
      </c>
      <c r="AC40" s="17">
        <f>_xll.BDH("XOM US Equity","IS_DIL_EPS_BEF_XO","FQ1 2005","FQ1 2005","Currency=USD","Period=FQ","BEST_FPERIOD_OVERRIDE=FQ","FILING_STATUS=OR","Sort=A","Dates=H","DateFormat=P","Fill=—","Direction=H","UseDPDF=Y")</f>
        <v>1.22</v>
      </c>
      <c r="AD40" s="17">
        <f>_xll.BDH("XOM US Equity","IS_DIL_EPS_BEF_XO","FQ2 2005","FQ2 2005","Currency=USD","Period=FQ","BEST_FPERIOD_OVERRIDE=FQ","FILING_STATUS=OR","Sort=A","Dates=H","DateFormat=P","Fill=—","Direction=H","UseDPDF=Y")</f>
        <v>1.2</v>
      </c>
      <c r="AE40" s="17">
        <f>_xll.BDH("XOM US Equity","IS_DIL_EPS_BEF_XO","FQ3 2005","FQ3 2005","Currency=USD","Period=FQ","BEST_FPERIOD_OVERRIDE=FQ","FILING_STATUS=OR","Sort=A","Dates=H","DateFormat=P","Fill=—","Direction=H","UseDPDF=Y")</f>
        <v>1.58</v>
      </c>
      <c r="AF40" s="17">
        <f>_xll.BDH("XOM US Equity","IS_DIL_EPS_BEF_XO","FQ4 2005","FQ4 2005","Currency=USD","Period=FQ","BEST_FPERIOD_OVERRIDE=FQ","FILING_STATUS=OR","Sort=A","Dates=H","DateFormat=P","Fill=—","Direction=H","UseDPDF=Y")</f>
        <v>1.71</v>
      </c>
      <c r="AG40" s="17">
        <f>_xll.BDH("XOM US Equity","IS_DIL_EPS_BEF_XO","FQ1 2006","FQ1 2006","Currency=USD","Period=FQ","BEST_FPERIOD_OVERRIDE=FQ","FILING_STATUS=OR","Sort=A","Dates=H","DateFormat=P","Fill=—","Direction=H","UseDPDF=Y")</f>
        <v>1.37</v>
      </c>
      <c r="AH40" s="17">
        <f>_xll.BDH("XOM US Equity","IS_DIL_EPS_BEF_XO","FQ2 2006","FQ2 2006","Currency=USD","Period=FQ","BEST_FPERIOD_OVERRIDE=FQ","FILING_STATUS=OR","Sort=A","Dates=H","DateFormat=P","Fill=—","Direction=H","UseDPDF=Y")</f>
        <v>1.72</v>
      </c>
      <c r="AI40" s="17">
        <f>_xll.BDH("XOM US Equity","IS_DIL_EPS_BEF_XO","FQ3 2006","FQ3 2006","Currency=USD","Period=FQ","BEST_FPERIOD_OVERRIDE=FQ","FILING_STATUS=OR","Sort=A","Dates=H","DateFormat=P","Fill=—","Direction=H","UseDPDF=Y")</f>
        <v>1.77</v>
      </c>
      <c r="AJ40" s="17">
        <f>_xll.BDH("XOM US Equity","IS_DIL_EPS_BEF_XO","FQ4 2006","FQ4 2006","Currency=USD","Period=FQ","BEST_FPERIOD_OVERRIDE=FQ","FILING_STATUS=OR","Sort=A","Dates=H","DateFormat=P","Fill=—","Direction=H","UseDPDF=Y")</f>
        <v>1.76</v>
      </c>
      <c r="AK40" s="17">
        <f>_xll.BDH("XOM US Equity","IS_DIL_EPS_BEF_XO","FQ1 2007","FQ1 2007","Currency=USD","Period=FQ","BEST_FPERIOD_OVERRIDE=FQ","FILING_STATUS=OR","Sort=A","Dates=H","DateFormat=P","Fill=—","Direction=H","UseDPDF=Y")</f>
        <v>1.62</v>
      </c>
      <c r="AL40" s="17">
        <f>_xll.BDH("XOM US Equity","IS_DIL_EPS_BEF_XO","FQ2 2007","FQ2 2007","Currency=USD","Period=FQ","BEST_FPERIOD_OVERRIDE=FQ","FILING_STATUS=OR","Sort=A","Dates=H","DateFormat=P","Fill=—","Direction=H","UseDPDF=Y")</f>
        <v>1.83</v>
      </c>
      <c r="AM40" s="17">
        <f>_xll.BDH("XOM US Equity","IS_DIL_EPS_BEF_XO","FQ3 2007","FQ3 2007","Currency=USD","Period=FQ","BEST_FPERIOD_OVERRIDE=FQ","FILING_STATUS=OR","Sort=A","Dates=H","DateFormat=P","Fill=—","Direction=H","UseDPDF=Y")</f>
        <v>1.7</v>
      </c>
      <c r="AN40" s="17">
        <f>_xll.BDH("XOM US Equity","IS_DIL_EPS_BEF_XO","FQ4 2007","FQ4 2007","Currency=USD","Period=FQ","BEST_FPERIOD_OVERRIDE=FQ","FILING_STATUS=OR","Sort=A","Dates=H","DateFormat=P","Fill=—","Direction=H","UseDPDF=Y")</f>
        <v>2.13</v>
      </c>
      <c r="AO40" s="17">
        <f>_xll.BDH("XOM US Equity","IS_DIL_EPS_BEF_XO","FQ1 2008","FQ1 2008","Currency=USD","Period=FQ","BEST_FPERIOD_OVERRIDE=FQ","FILING_STATUS=OR","Sort=A","Dates=H","DateFormat=P","Fill=—","Direction=H","UseDPDF=Y")</f>
        <v>2.0299999999999998</v>
      </c>
      <c r="AP40" s="17">
        <f>_xll.BDH("XOM US Equity","IS_DIL_EPS_BEF_XO","FQ2 2008","FQ2 2008","Currency=USD","Period=FQ","BEST_FPERIOD_OVERRIDE=FQ","FILING_STATUS=OR","Sort=A","Dates=H","DateFormat=P","Fill=—","Direction=H","UseDPDF=Y")</f>
        <v>2.2200000000000002</v>
      </c>
    </row>
    <row r="41" spans="1:42" x14ac:dyDescent="0.25">
      <c r="A41" s="6" t="s">
        <v>147</v>
      </c>
      <c r="B41" s="6" t="s">
        <v>148</v>
      </c>
      <c r="C41" s="17">
        <f>_xll.BDH("XOM US Equity","IS_DIL_EPS_CONT_OPS","FQ3 1998","FQ3 1998","Currency=USD","Period=FQ","BEST_FPERIOD_OVERRIDE=FQ","FILING_STATUS=OR","Sort=A","Dates=H","DateFormat=P","Fill=—","Direction=H","UseDPDF=Y")</f>
        <v>0.28999999999999998</v>
      </c>
      <c r="D41" s="17">
        <f>_xll.BDH("XOM US Equity","IS_DIL_EPS_CONT_OPS","FQ4 1998","FQ4 1998","Currency=USD","Period=FQ","BEST_FPERIOD_OVERRIDE=FQ","FILING_STATUS=OR","Sort=A","Dates=H","DateFormat=P","Fill=—","Direction=H","UseDPDF=Y")</f>
        <v>0.31</v>
      </c>
      <c r="E41" s="17">
        <f>_xll.BDH("XOM US Equity","IS_DIL_EPS_CONT_OPS","FQ1 1999","FQ1 1999","Currency=USD","Period=FQ","BEST_FPERIOD_OVERRIDE=FQ","FILING_STATUS=OR","Sort=A","Dates=H","DateFormat=P","Fill=—","Direction=H","UseDPDF=Y")</f>
        <v>0.21</v>
      </c>
      <c r="F41" s="17">
        <f>_xll.BDH("XOM US Equity","IS_DIL_EPS_CONT_OPS","FQ2 1999","FQ2 1999","Currency=USD","Period=FQ","BEST_FPERIOD_OVERRIDE=FQ","FILING_STATUS=OR","Sort=A","Dates=H","DateFormat=P","Fill=—","Direction=H","UseDPDF=Y")</f>
        <v>0.245</v>
      </c>
      <c r="G41" s="17">
        <f>_xll.BDH("XOM US Equity","IS_DIL_EPS_CONT_OPS","FQ3 1999","FQ3 1999","Currency=USD","Period=FQ","BEST_FPERIOD_OVERRIDE=FQ","FILING_STATUS=OR","Sort=A","Dates=H","DateFormat=P","Fill=—","Direction=H","UseDPDF=Y")</f>
        <v>0.30499999999999999</v>
      </c>
      <c r="H41" s="17">
        <f>_xll.BDH("XOM US Equity","IS_DIL_EPS_CONT_OPS","FQ4 1999","FQ4 1999","Currency=USD","Period=FQ","BEST_FPERIOD_OVERRIDE=FQ","FILING_STATUS=OR","Sort=A","Dates=H","DateFormat=P","Fill=—","Direction=H","UseDPDF=Y")</f>
        <v>0.64500000000000002</v>
      </c>
      <c r="I41" s="17">
        <f>_xll.BDH("XOM US Equity","IS_DIL_EPS_CONT_OPS","FQ1 2000","FQ1 2000","Currency=USD","Period=FQ","BEST_FPERIOD_OVERRIDE=FQ","FILING_STATUS=OR","Sort=A","Dates=H","DateFormat=P","Fill=—","Direction=H","UseDPDF=Y")</f>
        <v>0.47499999999999998</v>
      </c>
      <c r="J41" s="17">
        <f>_xll.BDH("XOM US Equity","IS_DIL_EPS_CONT_OPS","FQ2 2000","FQ2 2000","Currency=USD","Period=FQ","BEST_FPERIOD_OVERRIDE=FQ","FILING_STATUS=OR","Sort=A","Dates=H","DateFormat=P","Fill=—","Direction=H","UseDPDF=Y")</f>
        <v>0.6</v>
      </c>
      <c r="K41" s="17">
        <f>_xll.BDH("XOM US Equity","IS_DIL_EPS_CONT_OPS","FQ3 2000","FQ3 2000","Currency=USD","Period=FQ","BEST_FPERIOD_OVERRIDE=FQ","FILING_STATUS=OR","Sort=A","Dates=H","DateFormat=P","Fill=—","Direction=H","UseDPDF=Y")</f>
        <v>0.6</v>
      </c>
      <c r="L41" s="17">
        <f>_xll.BDH("XOM US Equity","IS_DIL_EPS_CONT_OPS","FQ4 2000","FQ4 2000","Currency=USD","Period=FQ","BEST_FPERIOD_OVERRIDE=FQ","FILING_STATUS=OR","Sort=A","Dates=H","DateFormat=P","Fill=—","Direction=H","UseDPDF=Y")</f>
        <v>0.745</v>
      </c>
      <c r="M41" s="17">
        <f>_xll.BDH("XOM US Equity","IS_DIL_EPS_CONT_OPS","FQ1 2001","FQ1 2001","Currency=USD","Period=FQ","BEST_FPERIOD_OVERRIDE=FQ","FILING_STATUS=OR","Sort=A","Dates=H","DateFormat=P","Fill=—","Direction=H","UseDPDF=Y")</f>
        <v>0.71</v>
      </c>
      <c r="N41" s="17">
        <f>_xll.BDH("XOM US Equity","IS_DIL_EPS_CONT_OPS","FQ2 2001","FQ2 2001","Currency=USD","Period=FQ","BEST_FPERIOD_OVERRIDE=FQ","FILING_STATUS=OR","Sort=A","Dates=H","DateFormat=P","Fill=—","Direction=H","UseDPDF=Y")</f>
        <v>0.63</v>
      </c>
      <c r="O41" s="17">
        <f>_xll.BDH("XOM US Equity","IS_DIL_EPS_CONT_OPS","FQ3 2001","FQ3 2001","Currency=USD","Period=FQ","BEST_FPERIOD_OVERRIDE=FQ","FILING_STATUS=OR","Sort=A","Dates=H","DateFormat=P","Fill=—","Direction=H","UseDPDF=Y")</f>
        <v>0.46</v>
      </c>
      <c r="P41" s="17">
        <f>_xll.BDH("XOM US Equity","IS_DIL_EPS_CONT_OPS","FQ4 2001","FQ4 2001","Currency=USD","Period=FQ","BEST_FPERIOD_OVERRIDE=FQ","FILING_STATUS=OR","Sort=A","Dates=H","DateFormat=P","Fill=—","Direction=H","UseDPDF=Y")</f>
        <v>0.44</v>
      </c>
      <c r="Q41" s="17">
        <f>_xll.BDH("XOM US Equity","IS_DIL_EPS_CONT_OPS","FQ1 2002","FQ1 2002","Currency=USD","Period=FQ","BEST_FPERIOD_OVERRIDE=FQ","FILING_STATUS=OR","Sort=A","Dates=H","DateFormat=P","Fill=—","Direction=H","UseDPDF=Y")</f>
        <v>0.31</v>
      </c>
      <c r="R41" s="17">
        <f>_xll.BDH("XOM US Equity","IS_DIL_EPS_CONT_OPS","FQ2 2002","FQ2 2002","Currency=USD","Period=FQ","BEST_FPERIOD_OVERRIDE=FQ","FILING_STATUS=OR","Sort=A","Dates=H","DateFormat=P","Fill=—","Direction=H","UseDPDF=Y")</f>
        <v>0.39</v>
      </c>
      <c r="S41" s="17">
        <f>_xll.BDH("XOM US Equity","IS_DIL_EPS_CONT_OPS","FQ3 2002","FQ3 2002","Currency=USD","Period=FQ","BEST_FPERIOD_OVERRIDE=FQ","FILING_STATUS=OR","Sort=A","Dates=H","DateFormat=P","Fill=—","Direction=H","UseDPDF=Y")</f>
        <v>0.44</v>
      </c>
      <c r="T41" s="17">
        <f>_xll.BDH("XOM US Equity","IS_DIL_EPS_CONT_OPS","FQ4 2002","FQ4 2002","Currency=USD","Period=FQ","BEST_FPERIOD_OVERRIDE=FQ","FILING_STATUS=OR","Sort=A","Dates=H","DateFormat=P","Fill=—","Direction=H","UseDPDF=Y")</f>
        <v>0.56000000000000005</v>
      </c>
      <c r="U41" s="17">
        <f>_xll.BDH("XOM US Equity","IS_DIL_EPS_CONT_OPS","FQ1 2003","FQ1 2003","Currency=USD","Period=FQ","BEST_FPERIOD_OVERRIDE=FQ","FILING_STATUS=OR","Sort=A","Dates=H","DateFormat=P","Fill=—","Direction=H","UseDPDF=Y")</f>
        <v>0.71299999999999997</v>
      </c>
      <c r="V41" s="17">
        <f>_xll.BDH("XOM US Equity","IS_DIL_EPS_CONT_OPS","FQ2 2003","FQ2 2003","Currency=USD","Period=FQ","BEST_FPERIOD_OVERRIDE=FQ","FILING_STATUS=OR","Sort=A","Dates=H","DateFormat=P","Fill=—","Direction=H","UseDPDF=Y")</f>
        <v>0.62</v>
      </c>
      <c r="W41" s="17">
        <f>_xll.BDH("XOM US Equity","IS_DIL_EPS_CONT_OPS","FQ3 2003","FQ3 2003","Currency=USD","Period=FQ","BEST_FPERIOD_OVERRIDE=FQ","FILING_STATUS=OR","Sort=A","Dates=H","DateFormat=P","Fill=—","Direction=H","UseDPDF=Y")</f>
        <v>0.55000000000000004</v>
      </c>
      <c r="X41" s="17">
        <f>_xll.BDH("XOM US Equity","IS_DIL_EPS_CONT_OPS","FQ4 2003","FQ4 2003","Currency=USD","Period=FQ","BEST_FPERIOD_OVERRIDE=FQ","FILING_STATUS=OR","Sort=A","Dates=H","DateFormat=P","Fill=—","Direction=H","UseDPDF=Y")</f>
        <v>0.66800000000000004</v>
      </c>
      <c r="Y41" s="17">
        <f>_xll.BDH("XOM US Equity","IS_DIL_EPS_CONT_OPS","FQ1 2004","FQ1 2004","Currency=USD","Period=FQ","BEST_FPERIOD_OVERRIDE=FQ","FILING_STATUS=OR","Sort=A","Dates=H","DateFormat=P","Fill=—","Direction=H","UseDPDF=Y")</f>
        <v>0.83</v>
      </c>
      <c r="Z41" s="17">
        <f>_xll.BDH("XOM US Equity","IS_DIL_EPS_CONT_OPS","FQ2 2004","FQ2 2004","Currency=USD","Period=FQ","BEST_FPERIOD_OVERRIDE=FQ","FILING_STATUS=OR","Sort=A","Dates=H","DateFormat=P","Fill=—","Direction=H","UseDPDF=Y")</f>
        <v>0.88</v>
      </c>
      <c r="AA41" s="17">
        <f>_xll.BDH("XOM US Equity","IS_DIL_EPS_CONT_OPS","FQ3 2004","FQ3 2004","Currency=USD","Period=FQ","BEST_FPERIOD_OVERRIDE=FQ","FILING_STATUS=OR","Sort=A","Dates=H","DateFormat=P","Fill=—","Direction=H","UseDPDF=Y")</f>
        <v>0.96</v>
      </c>
      <c r="AB41" s="17">
        <f>_xll.BDH("XOM US Equity","IS_DIL_EPS_CONT_OPS","FQ4 2004","FQ4 2004","Currency=USD","Period=FQ","BEST_FPERIOD_OVERRIDE=FQ","FILING_STATUS=OR","Sort=A","Dates=H","DateFormat=P","Fill=—","Direction=H","UseDPDF=Y")</f>
        <v>1.3</v>
      </c>
      <c r="AC41" s="17">
        <f>_xll.BDH("XOM US Equity","IS_DIL_EPS_CONT_OPS","FQ1 2005","FQ1 2005","Currency=USD","Period=FQ","BEST_FPERIOD_OVERRIDE=FQ","FILING_STATUS=OR","Sort=A","Dates=H","DateFormat=P","Fill=—","Direction=H","UseDPDF=Y")</f>
        <v>1.1499999999999999</v>
      </c>
      <c r="AD41" s="17">
        <f>_xll.BDH("XOM US Equity","IS_DIL_EPS_CONT_OPS","FQ2 2005","FQ2 2005","Currency=USD","Period=FQ","BEST_FPERIOD_OVERRIDE=FQ","FILING_STATUS=OR","Sort=A","Dates=H","DateFormat=P","Fill=—","Direction=H","UseDPDF=Y")</f>
        <v>1.23</v>
      </c>
      <c r="AE41" s="17">
        <f>_xll.BDH("XOM US Equity","IS_DIL_EPS_CONT_OPS","FQ3 2005","FQ3 2005","Currency=USD","Period=FQ","BEST_FPERIOD_OVERRIDE=FQ","FILING_STATUS=OR","Sort=A","Dates=H","DateFormat=P","Fill=—","Direction=H","UseDPDF=Y")</f>
        <v>1.32</v>
      </c>
      <c r="AF41" s="17">
        <f>_xll.BDH("XOM US Equity","IS_DIL_EPS_CONT_OPS","FQ4 2005","FQ4 2005","Currency=USD","Period=FQ","BEST_FPERIOD_OVERRIDE=FQ","FILING_STATUS=OR","Sort=A","Dates=H","DateFormat=P","Fill=—","Direction=H","UseDPDF=Y")</f>
        <v>1.65</v>
      </c>
      <c r="AG41" s="17">
        <f>_xll.BDH("XOM US Equity","IS_DIL_EPS_CONT_OPS","FQ1 2006","FQ1 2006","Currency=USD","Period=FQ","BEST_FPERIOD_OVERRIDE=FQ","FILING_STATUS=OR","Sort=A","Dates=H","DateFormat=P","Fill=—","Direction=H","UseDPDF=Y")</f>
        <v>1.37</v>
      </c>
      <c r="AH41" s="17">
        <f>_xll.BDH("XOM US Equity","IS_DIL_EPS_CONT_OPS","FQ2 2006","FQ2 2006","Currency=USD","Period=FQ","BEST_FPERIOD_OVERRIDE=FQ","FILING_STATUS=OR","Sort=A","Dates=H","DateFormat=P","Fill=—","Direction=H","UseDPDF=Y")</f>
        <v>1.72</v>
      </c>
      <c r="AI41" s="17">
        <f>_xll.BDH("XOM US Equity","IS_DIL_EPS_CONT_OPS","FQ3 2006","FQ3 2006","Currency=USD","Period=FQ","BEST_FPERIOD_OVERRIDE=FQ","FILING_STATUS=OR","Sort=A","Dates=H","DateFormat=P","Fill=—","Direction=H","UseDPDF=Y")</f>
        <v>1.77</v>
      </c>
      <c r="AJ41" s="17">
        <f>_xll.BDH("XOM US Equity","IS_DIL_EPS_CONT_OPS","FQ4 2006","FQ4 2006","Currency=USD","Period=FQ","BEST_FPERIOD_OVERRIDE=FQ","FILING_STATUS=OR","Sort=A","Dates=H","DateFormat=P","Fill=—","Direction=H","UseDPDF=Y")</f>
        <v>1.69</v>
      </c>
      <c r="AK41" s="17">
        <f>_xll.BDH("XOM US Equity","IS_DIL_EPS_CONT_OPS","FQ1 2007","FQ1 2007","Currency=USD","Period=FQ","BEST_FPERIOD_OVERRIDE=FQ","FILING_STATUS=OR","Sort=A","Dates=H","DateFormat=P","Fill=—","Direction=H","UseDPDF=Y")</f>
        <v>1.62</v>
      </c>
      <c r="AL41" s="17">
        <f>_xll.BDH("XOM US Equity","IS_DIL_EPS_CONT_OPS","FQ2 2007","FQ2 2007","Currency=USD","Period=FQ","BEST_FPERIOD_OVERRIDE=FQ","FILING_STATUS=OR","Sort=A","Dates=H","DateFormat=P","Fill=—","Direction=H","UseDPDF=Y")</f>
        <v>1.83</v>
      </c>
      <c r="AM41" s="17">
        <f>_xll.BDH("XOM US Equity","IS_DIL_EPS_CONT_OPS","FQ3 2007","FQ3 2007","Currency=USD","Period=FQ","BEST_FPERIOD_OVERRIDE=FQ","FILING_STATUS=OR","Sort=A","Dates=H","DateFormat=P","Fill=—","Direction=H","UseDPDF=Y")</f>
        <v>1.7</v>
      </c>
      <c r="AN41" s="17">
        <f>_xll.BDH("XOM US Equity","IS_DIL_EPS_CONT_OPS","FQ4 2007","FQ4 2007","Currency=USD","Period=FQ","BEST_FPERIOD_OVERRIDE=FQ","FILING_STATUS=OR","Sort=A","Dates=H","DateFormat=P","Fill=—","Direction=H","UseDPDF=Y")</f>
        <v>2.13</v>
      </c>
      <c r="AO41" s="17">
        <f>_xll.BDH("XOM US Equity","IS_DIL_EPS_CONT_OPS","FQ1 2008","FQ1 2008","Currency=USD","Period=FQ","BEST_FPERIOD_OVERRIDE=FQ","FILING_STATUS=OR","Sort=A","Dates=H","DateFormat=P","Fill=—","Direction=H","UseDPDF=Y")</f>
        <v>2.0299999999999998</v>
      </c>
      <c r="AP41" s="17">
        <f>_xll.BDH("XOM US Equity","IS_DIL_EPS_CONT_OPS","FQ2 2008","FQ2 2008","Currency=USD","Period=FQ","BEST_FPERIOD_OVERRIDE=FQ","FILING_STATUS=OR","Sort=A","Dates=H","DateFormat=P","Fill=—","Direction=H","UseDPDF=Y")</f>
        <v>2.27</v>
      </c>
    </row>
    <row r="42" spans="1:42" x14ac:dyDescent="0.25">
      <c r="A42" s="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1:42" x14ac:dyDescent="0.25">
      <c r="A43" s="6" t="s">
        <v>3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5">
      <c r="A44" s="10" t="s">
        <v>149</v>
      </c>
      <c r="B44" s="10" t="s">
        <v>150</v>
      </c>
      <c r="C44" s="12" t="s">
        <v>151</v>
      </c>
      <c r="D44" s="12" t="s">
        <v>151</v>
      </c>
      <c r="E44" s="12" t="s">
        <v>151</v>
      </c>
      <c r="F44" s="12" t="s">
        <v>151</v>
      </c>
      <c r="G44" s="12" t="s">
        <v>151</v>
      </c>
      <c r="H44" s="12" t="s">
        <v>151</v>
      </c>
      <c r="I44" s="12" t="s">
        <v>151</v>
      </c>
      <c r="J44" s="12" t="s">
        <v>151</v>
      </c>
      <c r="K44" s="12" t="s">
        <v>151</v>
      </c>
      <c r="L44" s="12" t="s">
        <v>152</v>
      </c>
      <c r="M44" s="12" t="s">
        <v>151</v>
      </c>
      <c r="N44" s="12" t="s">
        <v>151</v>
      </c>
      <c r="O44" s="12" t="s">
        <v>151</v>
      </c>
      <c r="P44" s="12" t="s">
        <v>152</v>
      </c>
      <c r="Q44" s="12" t="s">
        <v>151</v>
      </c>
      <c r="R44" s="12" t="s">
        <v>151</v>
      </c>
      <c r="S44" s="12" t="s">
        <v>151</v>
      </c>
      <c r="T44" s="12" t="s">
        <v>151</v>
      </c>
      <c r="U44" s="12" t="s">
        <v>151</v>
      </c>
      <c r="V44" s="12" t="s">
        <v>151</v>
      </c>
      <c r="W44" s="12" t="s">
        <v>151</v>
      </c>
      <c r="X44" s="12" t="s">
        <v>151</v>
      </c>
      <c r="Y44" s="12" t="s">
        <v>151</v>
      </c>
      <c r="Z44" s="12" t="s">
        <v>151</v>
      </c>
      <c r="AA44" s="12" t="s">
        <v>151</v>
      </c>
      <c r="AB44" s="12" t="s">
        <v>151</v>
      </c>
      <c r="AC44" s="12" t="s">
        <v>151</v>
      </c>
      <c r="AD44" s="12" t="s">
        <v>151</v>
      </c>
      <c r="AE44" s="12" t="s">
        <v>151</v>
      </c>
      <c r="AF44" s="12" t="s">
        <v>151</v>
      </c>
      <c r="AG44" s="12" t="s">
        <v>151</v>
      </c>
      <c r="AH44" s="12" t="s">
        <v>151</v>
      </c>
      <c r="AI44" s="12" t="s">
        <v>151</v>
      </c>
      <c r="AJ44" s="12" t="s">
        <v>151</v>
      </c>
      <c r="AK44" s="12" t="s">
        <v>151</v>
      </c>
      <c r="AL44" s="12" t="s">
        <v>151</v>
      </c>
      <c r="AM44" s="12" t="s">
        <v>151</v>
      </c>
      <c r="AN44" s="12" t="s">
        <v>151</v>
      </c>
      <c r="AO44" s="12" t="s">
        <v>151</v>
      </c>
      <c r="AP44" s="12" t="s">
        <v>151</v>
      </c>
    </row>
    <row r="45" spans="1:42" x14ac:dyDescent="0.25">
      <c r="A45" s="10" t="s">
        <v>153</v>
      </c>
      <c r="B45" s="10" t="s">
        <v>153</v>
      </c>
      <c r="C45" s="13">
        <f>_xll.BDH("XOM US Equity","EBITDA","FQ3 1998","FQ3 1998","Currency=USD","Period=FQ","BEST_FPERIOD_OVERRIDE=FQ","FILING_STATUS=OR","SCALING_FORMAT=MLN","FA_ADJUSTED=Adjusted","Sort=A","Dates=H","DateFormat=P","Fill=—","Direction=H","UseDPDF=Y")</f>
        <v>2999</v>
      </c>
      <c r="D45" s="13" t="str">
        <f>_xll.BDH("XOM US Equity","EBITDA","FQ4 1998","FQ4 1998","Currency=USD","Period=FQ","BEST_FPERIOD_OVERRIDE=FQ","FILING_STATUS=OR","SCALING_FORMAT=MLN","FA_ADJUSTED=Adjusted","Sort=A","Dates=H","DateFormat=P","Fill=—","Direction=H","UseDPDF=Y")</f>
        <v>—</v>
      </c>
      <c r="E45" s="13">
        <f>_xll.BDH("XOM US Equity","EBITDA","FQ1 1999","FQ1 1999","Currency=USD","Period=FQ","BEST_FPERIOD_OVERRIDE=FQ","FILING_STATUS=OR","SCALING_FORMAT=MLN","FA_ADJUSTED=Adjusted","Sort=A","Dates=H","DateFormat=P","Fill=—","Direction=H","UseDPDF=Y")</f>
        <v>2015</v>
      </c>
      <c r="F45" s="13">
        <f>_xll.BDH("XOM US Equity","EBITDA","FQ2 1999","FQ2 1999","Currency=USD","Period=FQ","BEST_FPERIOD_OVERRIDE=FQ","FILING_STATUS=OR","SCALING_FORMAT=MLN","FA_ADJUSTED=Adjusted","Sort=A","Dates=H","DateFormat=P","Fill=—","Direction=H","UseDPDF=Y")</f>
        <v>2541</v>
      </c>
      <c r="G45" s="13">
        <f>_xll.BDH("XOM US Equity","EBITDA","FQ3 1999","FQ3 1999","Currency=USD","Period=FQ","BEST_FPERIOD_OVERRIDE=FQ","FILING_STATUS=OR","SCALING_FORMAT=MLN","FA_ADJUSTED=Adjusted","Sort=A","Dates=H","DateFormat=P","Fill=—","Direction=H","UseDPDF=Y")</f>
        <v>3339</v>
      </c>
      <c r="H45" s="13">
        <f>_xll.BDH("XOM US Equity","EBITDA","FQ4 1999","FQ4 1999","Currency=USD","Period=FQ","BEST_FPERIOD_OVERRIDE=FQ","FILING_STATUS=OR","SCALING_FORMAT=MLN","FA_ADJUSTED=Adjusted","Sort=A","Dates=H","DateFormat=P","Fill=—","Direction=H","UseDPDF=Y")</f>
        <v>10026</v>
      </c>
      <c r="I45" s="13">
        <f>_xll.BDH("XOM US Equity","EBITDA","FQ1 2000","FQ1 2000","Currency=USD","Period=FQ","BEST_FPERIOD_OVERRIDE=FQ","FILING_STATUS=OR","SCALING_FORMAT=MLN","FA_ADJUSTED=Adjusted","Sort=A","Dates=H","DateFormat=P","Fill=—","Direction=H","UseDPDF=Y")</f>
        <v>7362</v>
      </c>
      <c r="J45" s="13">
        <f>_xll.BDH("XOM US Equity","EBITDA","FQ2 2000","FQ2 2000","Currency=USD","Period=FQ","BEST_FPERIOD_OVERRIDE=FQ","FILING_STATUS=OR","SCALING_FORMAT=MLN","FA_ADJUSTED=Adjusted","Sort=A","Dates=H","DateFormat=P","Fill=—","Direction=H","UseDPDF=Y")</f>
        <v>8063</v>
      </c>
      <c r="K45" s="13">
        <f>_xll.BDH("XOM US Equity","EBITDA","FQ3 2000","FQ3 2000","Currency=USD","Period=FQ","BEST_FPERIOD_OVERRIDE=FQ","FILING_STATUS=OR","SCALING_FORMAT=MLN","FA_ADJUSTED=Adjusted","Sort=A","Dates=H","DateFormat=P","Fill=—","Direction=H","UseDPDF=Y")</f>
        <v>8080</v>
      </c>
      <c r="L45" s="13">
        <f>_xll.BDH("XOM US Equity","EBITDA","FQ4 2000","FQ4 2000","Currency=USD","Period=FQ","BEST_FPERIOD_OVERRIDE=FQ","FILING_STATUS=OR","SCALING_FORMAT=MLN","FA_ADJUSTED=Adjusted","Sort=A","Dates=H","DateFormat=P","Fill=—","Direction=H","UseDPDF=Y")</f>
        <v>9804</v>
      </c>
      <c r="M45" s="13">
        <f>_xll.BDH("XOM US Equity","EBITDA","FQ1 2001","FQ1 2001","Currency=USD","Period=FQ","BEST_FPERIOD_OVERRIDE=FQ","FILING_STATUS=OR","SCALING_FORMAT=MLN","FA_ADJUSTED=Adjusted","Sort=A","Dates=H","DateFormat=P","Fill=—","Direction=H","UseDPDF=Y")</f>
        <v>9382</v>
      </c>
      <c r="N45" s="13">
        <f>_xll.BDH("XOM US Equity","EBITDA","FQ2 2001","FQ2 2001","Currency=USD","Period=FQ","BEST_FPERIOD_OVERRIDE=FQ","FILING_STATUS=OR","SCALING_FORMAT=MLN","FA_ADJUSTED=Adjusted","Sort=A","Dates=H","DateFormat=P","Fill=—","Direction=H","UseDPDF=Y")</f>
        <v>7980</v>
      </c>
      <c r="O45" s="13">
        <f>_xll.BDH("XOM US Equity","EBITDA","FQ3 2001","FQ3 2001","Currency=USD","Period=FQ","BEST_FPERIOD_OVERRIDE=FQ","FILING_STATUS=OR","SCALING_FORMAT=MLN","FA_ADJUSTED=Adjusted","Sort=A","Dates=H","DateFormat=P","Fill=—","Direction=H","UseDPDF=Y")</f>
        <v>6562</v>
      </c>
      <c r="P45" s="13">
        <f>_xll.BDH("XOM US Equity","EBITDA","FQ4 2001","FQ4 2001","Currency=USD","Period=FQ","BEST_FPERIOD_OVERRIDE=FQ","FILING_STATUS=OR","SCALING_FORMAT=MLN","FA_ADJUSTED=Adjusted","Sort=A","Dates=H","DateFormat=P","Fill=—","Direction=H","UseDPDF=Y")</f>
        <v>4814</v>
      </c>
      <c r="Q45" s="13">
        <f>_xll.BDH("XOM US Equity","EBITDA","FQ1 2002","FQ1 2002","Currency=USD","Period=FQ","BEST_FPERIOD_OVERRIDE=FQ","FILING_STATUS=OR","SCALING_FORMAT=MLN","FA_ADJUSTED=Adjusted","Sort=A","Dates=H","DateFormat=P","Fill=—","Direction=H","UseDPDF=Y")</f>
        <v>4755</v>
      </c>
      <c r="R45" s="13">
        <f>_xll.BDH("XOM US Equity","EBITDA","FQ2 2002","FQ2 2002","Currency=USD","Period=FQ","BEST_FPERIOD_OVERRIDE=FQ","FILING_STATUS=OR","SCALING_FORMAT=MLN","FA_ADJUSTED=Adjusted","Sort=A","Dates=H","DateFormat=P","Fill=—","Direction=H","UseDPDF=Y")</f>
        <v>5591</v>
      </c>
      <c r="S45" s="13">
        <f>_xll.BDH("XOM US Equity","EBITDA","FQ3 2002","FQ3 2002","Currency=USD","Period=FQ","BEST_FPERIOD_OVERRIDE=FQ","FILING_STATUS=OR","SCALING_FORMAT=MLN","FA_ADJUSTED=Adjusted","Sort=A","Dates=H","DateFormat=P","Fill=—","Direction=H","UseDPDF=Y")</f>
        <v>6045</v>
      </c>
      <c r="T45" s="13">
        <f>_xll.BDH("XOM US Equity","EBITDA","FQ4 2002","FQ4 2002","Currency=USD","Period=FQ","BEST_FPERIOD_OVERRIDE=FQ","FILING_STATUS=OR","SCALING_FORMAT=MLN","FA_ADJUSTED=Adjusted","Sort=A","Dates=H","DateFormat=P","Fill=—","Direction=H","UseDPDF=Y")</f>
        <v>6938</v>
      </c>
      <c r="U45" s="13">
        <f>_xll.BDH("XOM US Equity","EBITDA","FQ1 2003","FQ1 2003","Currency=USD","Period=FQ","BEST_FPERIOD_OVERRIDE=FQ","FILING_STATUS=OR","SCALING_FORMAT=MLN","FA_ADJUSTED=Adjusted","Sort=A","Dates=H","DateFormat=P","Fill=—","Direction=H","UseDPDF=Y")</f>
        <v>8883</v>
      </c>
      <c r="V45" s="13">
        <f>_xll.BDH("XOM US Equity","EBITDA","FQ2 2003","FQ2 2003","Currency=USD","Period=FQ","BEST_FPERIOD_OVERRIDE=FQ","FILING_STATUS=OR","SCALING_FORMAT=MLN","FA_ADJUSTED=Adjusted","Sort=A","Dates=H","DateFormat=P","Fill=—","Direction=H","UseDPDF=Y")</f>
        <v>8089</v>
      </c>
      <c r="W45" s="13">
        <f>_xll.BDH("XOM US Equity","EBITDA","FQ3 2003","FQ3 2003","Currency=USD","Period=FQ","BEST_FPERIOD_OVERRIDE=FQ","FILING_STATUS=OR","SCALING_FORMAT=MLN","FA_ADJUSTED=Adjusted","Sort=A","Dates=H","DateFormat=P","Fill=—","Direction=H","UseDPDF=Y")</f>
        <v>7226</v>
      </c>
      <c r="X45" s="13">
        <f>_xll.BDH("XOM US Equity","EBITDA","FQ4 2003","FQ4 2003","Currency=USD","Period=FQ","BEST_FPERIOD_OVERRIDE=FQ","FILING_STATUS=OR","SCALING_FORMAT=MLN","FA_ADJUSTED=Adjusted","Sort=A","Dates=H","DateFormat=P","Fill=—","Direction=H","UseDPDF=Y")</f>
        <v>8032</v>
      </c>
      <c r="Y45" s="13">
        <f>_xll.BDH("XOM US Equity","EBITDA","FQ1 2004","FQ1 2004","Currency=USD","Period=FQ","BEST_FPERIOD_OVERRIDE=FQ","FILING_STATUS=OR","SCALING_FORMAT=MLN","FA_ADJUSTED=Adjusted","Sort=A","Dates=H","DateFormat=P","Fill=—","Direction=H","UseDPDF=Y")</f>
        <v>9995</v>
      </c>
      <c r="Z45" s="13">
        <f>_xll.BDH("XOM US Equity","EBITDA","FQ2 2004","FQ2 2004","Currency=USD","Period=FQ","BEST_FPERIOD_OVERRIDE=FQ","FILING_STATUS=OR","SCALING_FORMAT=MLN","FA_ADJUSTED=Adjusted","Sort=A","Dates=H","DateFormat=P","Fill=—","Direction=H","UseDPDF=Y")</f>
        <v>10549</v>
      </c>
      <c r="AA45" s="13">
        <f>_xll.BDH("XOM US Equity","EBITDA","FQ3 2004","FQ3 2004","Currency=USD","Period=FQ","BEST_FPERIOD_OVERRIDE=FQ","FILING_STATUS=OR","SCALING_FORMAT=MLN","FA_ADJUSTED=Adjusted","Sort=A","Dates=H","DateFormat=P","Fill=—","Direction=H","UseDPDF=Y")</f>
        <v>11102</v>
      </c>
      <c r="AB45" s="13">
        <f>_xll.BDH("XOM US Equity","EBITDA","FQ4 2004","FQ4 2004","Currency=USD","Period=FQ","BEST_FPERIOD_OVERRIDE=FQ","FILING_STATUS=OR","SCALING_FORMAT=MLN","FA_ADJUSTED=Adjusted","Sort=A","Dates=H","DateFormat=P","Fill=—","Direction=H","UseDPDF=Y")</f>
        <v>13993</v>
      </c>
      <c r="AC45" s="13">
        <f>_xll.BDH("XOM US Equity","EBITDA","FQ1 2005","FQ1 2005","Currency=USD","Period=FQ","BEST_FPERIOD_OVERRIDE=FQ","FILING_STATUS=OR","SCALING_FORMAT=MLN","FA_ADJUSTED=Adjusted","Sort=A","Dates=H","DateFormat=P","Fill=—","Direction=H","UseDPDF=Y")</f>
        <v>13031</v>
      </c>
      <c r="AD45" s="13">
        <f>_xll.BDH("XOM US Equity","EBITDA","FQ2 2005","FQ2 2005","Currency=USD","Period=FQ","BEST_FPERIOD_OVERRIDE=FQ","FILING_STATUS=OR","SCALING_FORMAT=MLN","FA_ADJUSTED=Adjusted","Sort=A","Dates=H","DateFormat=P","Fill=—","Direction=H","UseDPDF=Y")</f>
        <v>13772</v>
      </c>
      <c r="AE45" s="13">
        <f>_xll.BDH("XOM US Equity","EBITDA","FQ3 2005","FQ3 2005","Currency=USD","Period=FQ","BEST_FPERIOD_OVERRIDE=FQ","FILING_STATUS=OR","SCALING_FORMAT=MLN","FA_ADJUSTED=Adjusted","Sort=A","Dates=H","DateFormat=P","Fill=—","Direction=H","UseDPDF=Y")</f>
        <v>14826</v>
      </c>
      <c r="AF45" s="13">
        <f>_xll.BDH("XOM US Equity","EBITDA","FQ4 2005","FQ4 2005","Currency=USD","Period=FQ","BEST_FPERIOD_OVERRIDE=FQ","FILING_STATUS=OR","SCALING_FORMAT=MLN","FA_ADJUSTED=Adjusted","Sort=A","Dates=H","DateFormat=P","Fill=—","Direction=H","UseDPDF=Y")</f>
        <v>17626</v>
      </c>
      <c r="AG45" s="13">
        <f>_xll.BDH("XOM US Equity","EBITDA","FQ1 2006","FQ1 2006","Currency=USD","Period=FQ","BEST_FPERIOD_OVERRIDE=FQ","FILING_STATUS=OR","SCALING_FORMAT=MLN","FA_ADJUSTED=Adjusted","Sort=A","Dates=H","DateFormat=P","Fill=—","Direction=H","UseDPDF=Y")</f>
        <v>15787</v>
      </c>
      <c r="AH45" s="13">
        <f>_xll.BDH("XOM US Equity","EBITDA","FQ2 2006","FQ2 2006","Currency=USD","Period=FQ","BEST_FPERIOD_OVERRIDE=FQ","FILING_STATUS=OR","SCALING_FORMAT=MLN","FA_ADJUSTED=Adjusted","Sort=A","Dates=H","DateFormat=P","Fill=—","Direction=H","UseDPDF=Y")</f>
        <v>18314</v>
      </c>
      <c r="AI45" s="13">
        <f>_xll.BDH("XOM US Equity","EBITDA","FQ3 2006","FQ3 2006","Currency=USD","Period=FQ","BEST_FPERIOD_OVERRIDE=FQ","FILING_STATUS=OR","SCALING_FORMAT=MLN","FA_ADJUSTED=Adjusted","Sort=A","Dates=H","DateFormat=P","Fill=—","Direction=H","UseDPDF=Y")</f>
        <v>18156</v>
      </c>
      <c r="AJ45" s="13">
        <f>_xll.BDH("XOM US Equity","EBITDA","FQ4 2006","FQ4 2006","Currency=USD","Period=FQ","BEST_FPERIOD_OVERRIDE=FQ","FILING_STATUS=OR","SCALING_FORMAT=MLN","FA_ADJUSTED=Adjusted","Sort=A","Dates=H","DateFormat=P","Fill=—","Direction=H","UseDPDF=Y")</f>
        <v>16098</v>
      </c>
      <c r="AK45" s="13">
        <f>_xll.BDH("XOM US Equity","EBITDA","FQ1 2007","FQ1 2007","Currency=USD","Period=FQ","BEST_FPERIOD_OVERRIDE=FQ","FILING_STATUS=OR","SCALING_FORMAT=MLN","FA_ADJUSTED=Adjusted","Sort=A","Dates=H","DateFormat=P","Fill=—","Direction=H","UseDPDF=Y")</f>
        <v>16310</v>
      </c>
      <c r="AL45" s="13">
        <f>_xll.BDH("XOM US Equity","EBITDA","FQ2 2007","FQ2 2007","Currency=USD","Period=FQ","BEST_FPERIOD_OVERRIDE=FQ","FILING_STATUS=OR","SCALING_FORMAT=MLN","FA_ADJUSTED=Adjusted","Sort=A","Dates=H","DateFormat=P","Fill=—","Direction=H","UseDPDF=Y")</f>
        <v>17915</v>
      </c>
      <c r="AM45" s="13">
        <f>_xll.BDH("XOM US Equity","EBITDA","FQ3 2007","FQ3 2007","Currency=USD","Period=FQ","BEST_FPERIOD_OVERRIDE=FQ","FILING_STATUS=OR","SCALING_FORMAT=MLN","FA_ADJUSTED=Adjusted","Sort=A","Dates=H","DateFormat=P","Fill=—","Direction=H","UseDPDF=Y")</f>
        <v>17069</v>
      </c>
      <c r="AN45" s="13">
        <f>_xll.BDH("XOM US Equity","EBITDA","FQ4 2007","FQ4 2007","Currency=USD","Period=FQ","BEST_FPERIOD_OVERRIDE=FQ","FILING_STATUS=OR","SCALING_FORMAT=MLN","FA_ADJUSTED=Adjusted","Sort=A","Dates=H","DateFormat=P","Fill=—","Direction=H","UseDPDF=Y")</f>
        <v>18611</v>
      </c>
      <c r="AO45" s="13">
        <f>_xll.BDH("XOM US Equity","EBITDA","FQ1 2008","FQ1 2008","Currency=USD","Period=FQ","BEST_FPERIOD_OVERRIDE=FQ","FILING_STATUS=OR","SCALING_FORMAT=MLN","FA_ADJUSTED=Adjusted","Sort=A","Dates=H","DateFormat=P","Fill=—","Direction=H","UseDPDF=Y")</f>
        <v>20899</v>
      </c>
      <c r="AP45" s="13">
        <f>_xll.BDH("XOM US Equity","EBITDA","FQ2 2008","FQ2 2008","Currency=USD","Period=FQ","BEST_FPERIOD_OVERRIDE=FQ","FILING_STATUS=OR","SCALING_FORMAT=MLN","FA_ADJUSTED=Adjusted","Sort=A","Dates=H","DateFormat=P","Fill=—","Direction=H","UseDPDF=Y")</f>
        <v>21332</v>
      </c>
    </row>
    <row r="46" spans="1:42" x14ac:dyDescent="0.25">
      <c r="A46" s="10" t="s">
        <v>154</v>
      </c>
      <c r="B46" s="10" t="s">
        <v>155</v>
      </c>
      <c r="C46" s="14">
        <f>_xll.BDH("XOM US Equity","EBITDA_MARGIN","FQ3 1998","FQ3 1998","Currency=USD","Period=FQ","BEST_FPERIOD_OVERRIDE=FQ","FILING_STATUS=OR","FA_ADJUSTED=Adjusted","Sort=A","Dates=H","DateFormat=P","Fill=—","Direction=H","UseDPDF=Y")</f>
        <v>15.2037</v>
      </c>
      <c r="D46" s="14" t="str">
        <f>_xll.BDH("XOM US Equity","EBITDA_MARGIN","FQ4 1998","FQ4 1998","Currency=USD","Period=FQ","BEST_FPERIOD_OVERRIDE=FQ","FILING_STATUS=OR","FA_ADJUSTED=Adjusted","Sort=A","Dates=H","DateFormat=P","Fill=—","Direction=H","UseDPDF=Y")</f>
        <v>—</v>
      </c>
      <c r="E46" s="14">
        <f>_xll.BDH("XOM US Equity","EBITDA_MARGIN","FQ1 1999","FQ1 1999","Currency=USD","Period=FQ","BEST_FPERIOD_OVERRIDE=FQ","FILING_STATUS=OR","FA_ADJUSTED=Adjusted","Sort=A","Dates=H","DateFormat=P","Fill=—","Direction=H","UseDPDF=Y")</f>
        <v>10.622199999999999</v>
      </c>
      <c r="F46" s="14">
        <f>_xll.BDH("XOM US Equity","EBITDA_MARGIN","FQ2 1999","FQ2 1999","Currency=USD","Period=FQ","BEST_FPERIOD_OVERRIDE=FQ","FILING_STATUS=OR","FA_ADJUSTED=Adjusted","Sort=A","Dates=H","DateFormat=P","Fill=—","Direction=H","UseDPDF=Y")</f>
        <v>10.426500000000001</v>
      </c>
      <c r="G46" s="14">
        <f>_xll.BDH("XOM US Equity","EBITDA_MARGIN","FQ3 1999","FQ3 1999","Currency=USD","Period=FQ","BEST_FPERIOD_OVERRIDE=FQ","FILING_STATUS=OR","FA_ADJUSTED=Adjusted","Sort=A","Dates=H","DateFormat=P","Fill=—","Direction=H","UseDPDF=Y")</f>
        <v>10.6006</v>
      </c>
      <c r="H46" s="14">
        <f>_xll.BDH("XOM US Equity","EBITDA_MARGIN","FQ4 1999","FQ4 1999","Currency=USD","Period=FQ","BEST_FPERIOD_OVERRIDE=FQ","FILING_STATUS=OR","FA_ADJUSTED=Adjusted","Sort=A","Dates=H","DateFormat=P","Fill=—","Direction=H","UseDPDF=Y")</f>
        <v>11.4336</v>
      </c>
      <c r="I46" s="14">
        <f>_xll.BDH("XOM US Equity","EBITDA_MARGIN","FQ1 2000","FQ1 2000","Currency=USD","Period=FQ","BEST_FPERIOD_OVERRIDE=FQ","FILING_STATUS=OR","FA_ADJUSTED=Adjusted","Sort=A","Dates=H","DateFormat=P","Fill=—","Direction=H","UseDPDF=Y")</f>
        <v>12.5383</v>
      </c>
      <c r="J46" s="14">
        <f>_xll.BDH("XOM US Equity","EBITDA_MARGIN","FQ2 2000","FQ2 2000","Currency=USD","Period=FQ","BEST_FPERIOD_OVERRIDE=FQ","FILING_STATUS=OR","FA_ADJUSTED=Adjusted","Sort=A","Dates=H","DateFormat=P","Fill=—","Direction=H","UseDPDF=Y")</f>
        <v>13.663499999999999</v>
      </c>
      <c r="K46" s="14">
        <f>_xll.BDH("XOM US Equity","EBITDA_MARGIN","FQ3 2000","FQ3 2000","Currency=USD","Period=FQ","BEST_FPERIOD_OVERRIDE=FQ","FILING_STATUS=OR","FA_ADJUSTED=Adjusted","Sort=A","Dates=H","DateFormat=P","Fill=—","Direction=H","UseDPDF=Y")</f>
        <v>14.3893</v>
      </c>
      <c r="L46" s="14">
        <f>_xll.BDH("XOM US Equity","EBITDA_MARGIN","FQ4 2000","FQ4 2000","Currency=USD","Period=FQ","BEST_FPERIOD_OVERRIDE=FQ","FILING_STATUS=OR","FA_ADJUSTED=Adjusted","Sort=A","Dates=H","DateFormat=P","Fill=—","Direction=H","UseDPDF=Y")</f>
        <v>16.1629</v>
      </c>
      <c r="M46" s="14">
        <f>_xll.BDH("XOM US Equity","EBITDA_MARGIN","FQ1 2001","FQ1 2001","Currency=USD","Period=FQ","BEST_FPERIOD_OVERRIDE=FQ","FILING_STATUS=OR","FA_ADJUSTED=Adjusted","Sort=A","Dates=H","DateFormat=P","Fill=—","Direction=H","UseDPDF=Y")</f>
        <v>16.896999999999998</v>
      </c>
      <c r="N46" s="14">
        <f>_xll.BDH("XOM US Equity","EBITDA_MARGIN","FQ2 2001","FQ2 2001","Currency=USD","Period=FQ","BEST_FPERIOD_OVERRIDE=FQ","FILING_STATUS=OR","FA_ADJUSTED=Adjusted","Sort=A","Dates=H","DateFormat=P","Fill=—","Direction=H","UseDPDF=Y")</f>
        <v>16.825399999999998</v>
      </c>
      <c r="O46" s="14">
        <f>_xll.BDH("XOM US Equity","EBITDA_MARGIN","FQ3 2001","FQ3 2001","Currency=USD","Period=FQ","BEST_FPERIOD_OVERRIDE=FQ","FILING_STATUS=OR","FA_ADJUSTED=Adjusted","Sort=A","Dates=H","DateFormat=P","Fill=—","Direction=H","UseDPDF=Y")</f>
        <v>16.605</v>
      </c>
      <c r="P46" s="14">
        <f>_xll.BDH("XOM US Equity","EBITDA_MARGIN","FQ4 2001","FQ4 2001","Currency=USD","Period=FQ","BEST_FPERIOD_OVERRIDE=FQ","FILING_STATUS=OR","FA_ADJUSTED=Adjusted","Sort=A","Dates=H","DateFormat=P","Fill=—","Direction=H","UseDPDF=Y")</f>
        <v>15.3261</v>
      </c>
      <c r="Q46" s="14">
        <f>_xll.BDH("XOM US Equity","EBITDA_MARGIN","FQ1 2002","FQ1 2002","Currency=USD","Period=FQ","BEST_FPERIOD_OVERRIDE=FQ","FILING_STATUS=OR","FA_ADJUSTED=Adjusted","Sort=A","Dates=H","DateFormat=P","Fill=—","Direction=H","UseDPDF=Y")</f>
        <v>14.2171</v>
      </c>
      <c r="R46" s="14">
        <f>_xll.BDH("XOM US Equity","EBITDA_MARGIN","FQ2 2002","FQ2 2002","Currency=USD","Period=FQ","BEST_FPERIOD_OVERRIDE=FQ","FILING_STATUS=OR","FA_ADJUSTED=Adjusted","Sort=A","Dates=H","DateFormat=P","Fill=—","Direction=H","UseDPDF=Y")</f>
        <v>13.255800000000001</v>
      </c>
      <c r="S46" s="14">
        <f>_xll.BDH("XOM US Equity","EBITDA_MARGIN","FQ3 2002","FQ3 2002","Currency=USD","Period=FQ","BEST_FPERIOD_OVERRIDE=FQ","FILING_STATUS=OR","FA_ADJUSTED=Adjusted","Sort=A","Dates=H","DateFormat=P","Fill=—","Direction=H","UseDPDF=Y")</f>
        <v>12.821199999999999</v>
      </c>
      <c r="T46" s="14">
        <f>_xll.BDH("XOM US Equity","EBITDA_MARGIN","FQ4 2002","FQ4 2002","Currency=USD","Period=FQ","BEST_FPERIOD_OVERRIDE=FQ","FILING_STATUS=OR","FA_ADJUSTED=Adjusted","Sort=A","Dates=H","DateFormat=P","Fill=—","Direction=H","UseDPDF=Y")</f>
        <v>12.533300000000001</v>
      </c>
      <c r="U46" s="14">
        <f>_xll.BDH("XOM US Equity","EBITDA_MARGIN","FQ1 2003","FQ1 2003","Currency=USD","Period=FQ","BEST_FPERIOD_OVERRIDE=FQ","FILING_STATUS=OR","FA_ADJUSTED=Adjusted","Sort=A","Dates=H","DateFormat=P","Fill=—","Direction=H","UseDPDF=Y")</f>
        <v>13.558999999999999</v>
      </c>
      <c r="V46" s="14">
        <f>_xll.BDH("XOM US Equity","EBITDA_MARGIN","FQ2 2003","FQ2 2003","Currency=USD","Period=FQ","BEST_FPERIOD_OVERRIDE=FQ","FILING_STATUS=OR","FA_ADJUSTED=Adjusted","Sort=A","Dates=H","DateFormat=P","Fill=—","Direction=H","UseDPDF=Y")</f>
        <v>14.3774</v>
      </c>
      <c r="W46" s="14">
        <f>_xll.BDH("XOM US Equity","EBITDA_MARGIN","FQ3 2003","FQ3 2003","Currency=USD","Period=FQ","BEST_FPERIOD_OVERRIDE=FQ","FILING_STATUS=OR","FA_ADJUSTED=Adjusted","Sort=A","Dates=H","DateFormat=P","Fill=—","Direction=H","UseDPDF=Y")</f>
        <v>14.57</v>
      </c>
      <c r="X46" s="14">
        <f>_xll.BDH("XOM US Equity","EBITDA_MARGIN","FQ4 2003","FQ4 2003","Currency=USD","Period=FQ","BEST_FPERIOD_OVERRIDE=FQ","FILING_STATUS=OR","FA_ADJUSTED=Adjusted","Sort=A","Dates=H","DateFormat=P","Fill=—","Direction=H","UseDPDF=Y")</f>
        <v>15.1173</v>
      </c>
      <c r="Y46" s="14">
        <f>_xll.BDH("XOM US Equity","EBITDA_MARGIN","FQ1 2004","FQ1 2004","Currency=USD","Period=FQ","BEST_FPERIOD_OVERRIDE=FQ","FILING_STATUS=OR","FA_ADJUSTED=Adjusted","Sort=A","Dates=H","DateFormat=P","Fill=—","Direction=H","UseDPDF=Y")</f>
        <v>15.2605</v>
      </c>
      <c r="Z46" s="14">
        <f>_xll.BDH("XOM US Equity","EBITDA_MARGIN","FQ2 2004","FQ2 2004","Currency=USD","Period=FQ","BEST_FPERIOD_OVERRIDE=FQ","FILING_STATUS=OR","FA_ADJUSTED=Adjusted","Sort=A","Dates=H","DateFormat=P","Fill=—","Direction=H","UseDPDF=Y")</f>
        <v>15.504</v>
      </c>
      <c r="AA46" s="14">
        <f>_xll.BDH("XOM US Equity","EBITDA_MARGIN","FQ3 2004","FQ3 2004","Currency=USD","Period=FQ","BEST_FPERIOD_OVERRIDE=FQ","FILING_STATUS=OR","FA_ADJUSTED=Adjusted","Sort=A","Dates=H","DateFormat=P","Fill=—","Direction=H","UseDPDF=Y")</f>
        <v>16.137799999999999</v>
      </c>
      <c r="AB46" s="14">
        <f>_xll.BDH("XOM US Equity","EBITDA_MARGIN","FQ4 2004","FQ4 2004","Currency=USD","Period=FQ","BEST_FPERIOD_OVERRIDE=FQ","FILING_STATUS=OR","FA_ADJUSTED=Adjusted","Sort=A","Dates=H","DateFormat=P","Fill=—","Direction=H","UseDPDF=Y")</f>
        <v>17.2882</v>
      </c>
      <c r="AC46" s="14">
        <f>_xll.BDH("XOM US Equity","EBITDA_MARGIN","FQ1 2005","FQ1 2005","Currency=USD","Period=FQ","BEST_FPERIOD_OVERRIDE=FQ","FILING_STATUS=OR","FA_ADJUSTED=Adjusted","Sort=A","Dates=H","DateFormat=P","Fill=—","Direction=H","UseDPDF=Y")</f>
        <v>17.598800000000001</v>
      </c>
      <c r="AD46" s="14">
        <f>_xll.BDH("XOM US Equity","EBITDA_MARGIN","FQ2 2005","FQ2 2005","Currency=USD","Period=FQ","BEST_FPERIOD_OVERRIDE=FQ","FILING_STATUS=OR","FA_ADJUSTED=Adjusted","Sort=A","Dates=H","DateFormat=P","Fill=—","Direction=H","UseDPDF=Y")</f>
        <v>17.713699999999999</v>
      </c>
      <c r="AE46" s="14">
        <f>_xll.BDH("XOM US Equity","EBITDA_MARGIN","FQ3 2005","FQ3 2005","Currency=USD","Period=FQ","BEST_FPERIOD_OVERRIDE=FQ","FILING_STATUS=OR","FA_ADJUSTED=Adjusted","Sort=A","Dates=H","DateFormat=P","Fill=—","Direction=H","UseDPDF=Y")</f>
        <v>17.728400000000001</v>
      </c>
      <c r="AF46" s="14">
        <f>_xll.BDH("XOM US Equity","EBITDA_MARGIN","FQ4 2005","FQ4 2005","Currency=USD","Period=FQ","BEST_FPERIOD_OVERRIDE=FQ","FILING_STATUS=OR","FA_ADJUSTED=Adjusted","Sort=A","Dates=H","DateFormat=P","Fill=—","Direction=H","UseDPDF=Y")</f>
        <v>18.053799999999999</v>
      </c>
      <c r="AG46" s="14">
        <f>_xll.BDH("XOM US Equity","EBITDA_MARGIN","FQ1 2006","FQ1 2006","Currency=USD","Period=FQ","BEST_FPERIOD_OVERRIDE=FQ","FILING_STATUS=OR","FA_ADJUSTED=Adjusted","Sort=A","Dates=H","DateFormat=P","Fill=—","Direction=H","UseDPDF=Y")</f>
        <v>18.531300000000002</v>
      </c>
      <c r="AH46" s="14">
        <f>_xll.BDH("XOM US Equity","EBITDA_MARGIN","FQ2 2006","FQ2 2006","Currency=USD","Period=FQ","BEST_FPERIOD_OVERRIDE=FQ","FILING_STATUS=OR","FA_ADJUSTED=Adjusted","Sort=A","Dates=H","DateFormat=P","Fill=—","Direction=H","UseDPDF=Y")</f>
        <v>19.3843</v>
      </c>
      <c r="AI46" s="14">
        <f>_xll.BDH("XOM US Equity","EBITDA_MARGIN","FQ3 2006","FQ3 2006","Currency=USD","Period=FQ","BEST_FPERIOD_OVERRIDE=FQ","FILING_STATUS=OR","FA_ADJUSTED=Adjusted","Sort=A","Dates=H","DateFormat=P","Fill=—","Direction=H","UseDPDF=Y")</f>
        <v>20.3581</v>
      </c>
      <c r="AJ46" s="14">
        <f>_xll.BDH("XOM US Equity","EBITDA_MARGIN","FQ4 2006","FQ4 2006","Currency=USD","Period=FQ","BEST_FPERIOD_OVERRIDE=FQ","FILING_STATUS=OR","FA_ADJUSTED=Adjusted","Sort=A","Dates=H","DateFormat=P","Fill=—","Direction=H","UseDPDF=Y")</f>
        <v>20.3992</v>
      </c>
      <c r="AK46" s="14">
        <f>_xll.BDH("XOM US Equity","EBITDA_MARGIN","FQ1 2007","FQ1 2007","Currency=USD","Period=FQ","BEST_FPERIOD_OVERRIDE=FQ","FILING_STATUS=OR","FA_ADJUSTED=Adjusted","Sort=A","Dates=H","DateFormat=P","Fill=—","Direction=H","UseDPDF=Y")</f>
        <v>20.664000000000001</v>
      </c>
      <c r="AL46" s="14">
        <f>_xll.BDH("XOM US Equity","EBITDA_MARGIN","FQ2 2007","FQ2 2007","Currency=USD","Period=FQ","BEST_FPERIOD_OVERRIDE=FQ","FILING_STATUS=OR","FA_ADJUSTED=Adjusted","Sort=A","Dates=H","DateFormat=P","Fill=—","Direction=H","UseDPDF=Y")</f>
        <v>20.5792</v>
      </c>
      <c r="AM46" s="14">
        <f>_xll.BDH("XOM US Equity","EBITDA_MARGIN","FQ3 2007","FQ3 2007","Currency=USD","Period=FQ","BEST_FPERIOD_OVERRIDE=FQ","FILING_STATUS=OR","FA_ADJUSTED=Adjusted","Sort=A","Dates=H","DateFormat=P","Fill=—","Direction=H","UseDPDF=Y")</f>
        <v>20.092099999999999</v>
      </c>
      <c r="AN46" s="14">
        <f>_xll.BDH("XOM US Equity","EBITDA_MARGIN","FQ4 2007","FQ4 2007","Currency=USD","Period=FQ","BEST_FPERIOD_OVERRIDE=FQ","FILING_STATUS=OR","FA_ADJUSTED=Adjusted","Sort=A","Dates=H","DateFormat=P","Fill=—","Direction=H","UseDPDF=Y")</f>
        <v>19.4939</v>
      </c>
      <c r="AO46" s="14">
        <f>_xll.BDH("XOM US Equity","EBITDA_MARGIN","FQ1 2008","FQ1 2008","Currency=USD","Period=FQ","BEST_FPERIOD_OVERRIDE=FQ","FILING_STATUS=OR","FA_ADJUSTED=Adjusted","Sort=A","Dates=H","DateFormat=P","Fill=—","Direction=H","UseDPDF=Y")</f>
        <v>19.273900000000001</v>
      </c>
      <c r="AP46" s="14">
        <f>_xll.BDH("XOM US Equity","EBITDA_MARGIN","FQ2 2008","FQ2 2008","Currency=USD","Period=FQ","BEST_FPERIOD_OVERRIDE=FQ","FILING_STATUS=OR","FA_ADJUSTED=Adjusted","Sort=A","Dates=H","DateFormat=P","Fill=—","Direction=H","UseDPDF=Y")</f>
        <v>18.397400000000001</v>
      </c>
    </row>
    <row r="47" spans="1:42" x14ac:dyDescent="0.25">
      <c r="A47" s="10" t="s">
        <v>156</v>
      </c>
      <c r="B47" s="10" t="s">
        <v>156</v>
      </c>
      <c r="C47" s="13">
        <f>_xll.BDH("XOM US Equity","EBITA","FQ3 1998","FQ3 1998","Currency=USD","Period=FQ","BEST_FPERIOD_OVERRIDE=FQ","FILING_STATUS=OR","SCALING_FORMAT=MLN","FA_ADJUSTED=Adjusted","Sort=A","Dates=H","DateFormat=P","Fill=—","Direction=H","UseDPDF=Y")</f>
        <v>1662</v>
      </c>
      <c r="D47" s="13" t="str">
        <f>_xll.BDH("XOM US Equity","EBITA","FQ4 1998","FQ4 1998","Currency=USD","Period=FQ","BEST_FPERIOD_OVERRIDE=FQ","FILING_STATUS=OR","SCALING_FORMAT=MLN","FA_ADJUSTED=Adjusted","Sort=A","Dates=H","DateFormat=P","Fill=—","Direction=H","UseDPDF=Y")</f>
        <v>—</v>
      </c>
      <c r="E47" s="13" t="str">
        <f>_xll.BDH("XOM US Equity","EBITA","FQ1 1999","FQ1 1999","Currency=USD","Period=FQ","BEST_FPERIOD_OVERRIDE=FQ","FILING_STATUS=OR","SCALING_FORMAT=MLN","FA_ADJUSTED=Adjusted","Sort=A","Dates=H","DateFormat=P","Fill=—","Direction=H","UseDPDF=Y")</f>
        <v>—</v>
      </c>
      <c r="F47" s="13" t="str">
        <f>_xll.BDH("XOM US Equity","EBITA","FQ2 1999","FQ2 1999","Currency=USD","Period=FQ","BEST_FPERIOD_OVERRIDE=FQ","FILING_STATUS=OR","SCALING_FORMAT=MLN","FA_ADJUSTED=Adjusted","Sort=A","Dates=H","DateFormat=P","Fill=—","Direction=H","UseDPDF=Y")</f>
        <v>—</v>
      </c>
      <c r="G47" s="13" t="str">
        <f>_xll.BDH("XOM US Equity","EBITA","FQ3 1999","FQ3 1999","Currency=USD","Period=FQ","BEST_FPERIOD_OVERRIDE=FQ","FILING_STATUS=OR","SCALING_FORMAT=MLN","FA_ADJUSTED=Adjusted","Sort=A","Dates=H","DateFormat=P","Fill=—","Direction=H","UseDPDF=Y")</f>
        <v>—</v>
      </c>
      <c r="H47" s="13" t="str">
        <f>_xll.BDH("XOM US Equity","EBITA","FQ4 1999","FQ4 1999","Currency=USD","Period=FQ","BEST_FPERIOD_OVERRIDE=FQ","FILING_STATUS=OR","SCALING_FORMAT=MLN","FA_ADJUSTED=Adjusted","Sort=A","Dates=H","DateFormat=P","Fill=—","Direction=H","UseDPDF=Y")</f>
        <v>—</v>
      </c>
      <c r="I47" s="13" t="str">
        <f>_xll.BDH("XOM US Equity","EBITA","FQ1 2000","FQ1 2000","Currency=USD","Period=FQ","BEST_FPERIOD_OVERRIDE=FQ","FILING_STATUS=OR","SCALING_FORMAT=MLN","FA_ADJUSTED=Adjusted","Sort=A","Dates=H","DateFormat=P","Fill=—","Direction=H","UseDPDF=Y")</f>
        <v>—</v>
      </c>
      <c r="J47" s="13" t="str">
        <f>_xll.BDH("XOM US Equity","EBITA","FQ2 2000","FQ2 2000","Currency=USD","Period=FQ","BEST_FPERIOD_OVERRIDE=FQ","FILING_STATUS=OR","SCALING_FORMAT=MLN","FA_ADJUSTED=Adjusted","Sort=A","Dates=H","DateFormat=P","Fill=—","Direction=H","UseDPDF=Y")</f>
        <v>—</v>
      </c>
      <c r="K47" s="13" t="str">
        <f>_xll.BDH("XOM US Equity","EBITA","FQ3 2000","FQ3 2000","Currency=USD","Period=FQ","BEST_FPERIOD_OVERRIDE=FQ","FILING_STATUS=OR","SCALING_FORMAT=MLN","FA_ADJUSTED=Adjusted","Sort=A","Dates=H","DateFormat=P","Fill=—","Direction=H","UseDPDF=Y")</f>
        <v>—</v>
      </c>
      <c r="L47" s="13" t="str">
        <f>_xll.BDH("XOM US Equity","EBITA","FQ4 2000","FQ4 2000","Currency=USD","Period=FQ","BEST_FPERIOD_OVERRIDE=FQ","FILING_STATUS=OR","SCALING_FORMAT=MLN","FA_ADJUSTED=Adjusted","Sort=A","Dates=H","DateFormat=P","Fill=—","Direction=H","UseDPDF=Y")</f>
        <v>—</v>
      </c>
      <c r="M47" s="13" t="str">
        <f>_xll.BDH("XOM US Equity","EBITA","FQ1 2001","FQ1 2001","Currency=USD","Period=FQ","BEST_FPERIOD_OVERRIDE=FQ","FILING_STATUS=OR","SCALING_FORMAT=MLN","FA_ADJUSTED=Adjusted","Sort=A","Dates=H","DateFormat=P","Fill=—","Direction=H","UseDPDF=Y")</f>
        <v>—</v>
      </c>
      <c r="N47" s="13" t="str">
        <f>_xll.BDH("XOM US Equity","EBITA","FQ2 2001","FQ2 2001","Currency=USD","Period=FQ","BEST_FPERIOD_OVERRIDE=FQ","FILING_STATUS=OR","SCALING_FORMAT=MLN","FA_ADJUSTED=Adjusted","Sort=A","Dates=H","DateFormat=P","Fill=—","Direction=H","UseDPDF=Y")</f>
        <v>—</v>
      </c>
      <c r="O47" s="13" t="str">
        <f>_xll.BDH("XOM US Equity","EBITA","FQ3 2001","FQ3 2001","Currency=USD","Period=FQ","BEST_FPERIOD_OVERRIDE=FQ","FILING_STATUS=OR","SCALING_FORMAT=MLN","FA_ADJUSTED=Adjusted","Sort=A","Dates=H","DateFormat=P","Fill=—","Direction=H","UseDPDF=Y")</f>
        <v>—</v>
      </c>
      <c r="P47" s="13" t="str">
        <f>_xll.BDH("XOM US Equity","EBITA","FQ4 2001","FQ4 2001","Currency=USD","Period=FQ","BEST_FPERIOD_OVERRIDE=FQ","FILING_STATUS=OR","SCALING_FORMAT=MLN","FA_ADJUSTED=Adjusted","Sort=A","Dates=H","DateFormat=P","Fill=—","Direction=H","UseDPDF=Y")</f>
        <v>—</v>
      </c>
      <c r="Q47" s="13" t="str">
        <f>_xll.BDH("XOM US Equity","EBITA","FQ1 2002","FQ1 2002","Currency=USD","Period=FQ","BEST_FPERIOD_OVERRIDE=FQ","FILING_STATUS=OR","SCALING_FORMAT=MLN","FA_ADJUSTED=Adjusted","Sort=A","Dates=H","DateFormat=P","Fill=—","Direction=H","UseDPDF=Y")</f>
        <v>—</v>
      </c>
      <c r="R47" s="13" t="str">
        <f>_xll.BDH("XOM US Equity","EBITA","FQ2 2002","FQ2 2002","Currency=USD","Period=FQ","BEST_FPERIOD_OVERRIDE=FQ","FILING_STATUS=OR","SCALING_FORMAT=MLN","FA_ADJUSTED=Adjusted","Sort=A","Dates=H","DateFormat=P","Fill=—","Direction=H","UseDPDF=Y")</f>
        <v>—</v>
      </c>
      <c r="S47" s="13" t="str">
        <f>_xll.BDH("XOM US Equity","EBITA","FQ3 2002","FQ3 2002","Currency=USD","Period=FQ","BEST_FPERIOD_OVERRIDE=FQ","FILING_STATUS=OR","SCALING_FORMAT=MLN","FA_ADJUSTED=Adjusted","Sort=A","Dates=H","DateFormat=P","Fill=—","Direction=H","UseDPDF=Y")</f>
        <v>—</v>
      </c>
      <c r="T47" s="13">
        <f>_xll.BDH("XOM US Equity","EBITA","FQ4 2002","FQ4 2002","Currency=USD","Period=FQ","BEST_FPERIOD_OVERRIDE=FQ","FILING_STATUS=OR","SCALING_FORMAT=MLN","FA_ADJUSTED=Adjusted","Sort=A","Dates=H","DateFormat=P","Fill=—","Direction=H","UseDPDF=Y")</f>
        <v>4863</v>
      </c>
      <c r="U47" s="13" t="str">
        <f>_xll.BDH("XOM US Equity","EBITA","FQ1 2003","FQ1 2003","Currency=USD","Period=FQ","BEST_FPERIOD_OVERRIDE=FQ","FILING_STATUS=OR","SCALING_FORMAT=MLN","FA_ADJUSTED=Adjusted","Sort=A","Dates=H","DateFormat=P","Fill=—","Direction=H","UseDPDF=Y")</f>
        <v>—</v>
      </c>
      <c r="V47" s="13" t="str">
        <f>_xll.BDH("XOM US Equity","EBITA","FQ2 2003","FQ2 2003","Currency=USD","Period=FQ","BEST_FPERIOD_OVERRIDE=FQ","FILING_STATUS=OR","SCALING_FORMAT=MLN","FA_ADJUSTED=Adjusted","Sort=A","Dates=H","DateFormat=P","Fill=—","Direction=H","UseDPDF=Y")</f>
        <v>—</v>
      </c>
      <c r="W47" s="13" t="str">
        <f>_xll.BDH("XOM US Equity","EBITA","FQ3 2003","FQ3 2003","Currency=USD","Period=FQ","BEST_FPERIOD_OVERRIDE=FQ","FILING_STATUS=OR","SCALING_FORMAT=MLN","FA_ADJUSTED=Adjusted","Sort=A","Dates=H","DateFormat=P","Fill=—","Direction=H","UseDPDF=Y")</f>
        <v>—</v>
      </c>
      <c r="X47" s="13" t="str">
        <f>_xll.BDH("XOM US Equity","EBITA","FQ4 2003","FQ4 2003","Currency=USD","Period=FQ","BEST_FPERIOD_OVERRIDE=FQ","FILING_STATUS=OR","SCALING_FORMAT=MLN","FA_ADJUSTED=Adjusted","Sort=A","Dates=H","DateFormat=P","Fill=—","Direction=H","UseDPDF=Y")</f>
        <v>—</v>
      </c>
      <c r="Y47" s="13" t="str">
        <f>_xll.BDH("XOM US Equity","EBITA","FQ1 2004","FQ1 2004","Currency=USD","Period=FQ","BEST_FPERIOD_OVERRIDE=FQ","FILING_STATUS=OR","SCALING_FORMAT=MLN","FA_ADJUSTED=Adjusted","Sort=A","Dates=H","DateFormat=P","Fill=—","Direction=H","UseDPDF=Y")</f>
        <v>—</v>
      </c>
      <c r="Z47" s="13" t="str">
        <f>_xll.BDH("XOM US Equity","EBITA","FQ2 2004","FQ2 2004","Currency=USD","Period=FQ","BEST_FPERIOD_OVERRIDE=FQ","FILING_STATUS=OR","SCALING_FORMAT=MLN","FA_ADJUSTED=Adjusted","Sort=A","Dates=H","DateFormat=P","Fill=—","Direction=H","UseDPDF=Y")</f>
        <v>—</v>
      </c>
      <c r="AA47" s="13" t="str">
        <f>_xll.BDH("XOM US Equity","EBITA","FQ3 2004","FQ3 2004","Currency=USD","Period=FQ","BEST_FPERIOD_OVERRIDE=FQ","FILING_STATUS=OR","SCALING_FORMAT=MLN","FA_ADJUSTED=Adjusted","Sort=A","Dates=H","DateFormat=P","Fill=—","Direction=H","UseDPDF=Y")</f>
        <v>—</v>
      </c>
      <c r="AB47" s="13" t="str">
        <f>_xll.BDH("XOM US Equity","EBITA","FQ4 2004","FQ4 2004","Currency=USD","Period=FQ","BEST_FPERIOD_OVERRIDE=FQ","FILING_STATUS=OR","SCALING_FORMAT=MLN","FA_ADJUSTED=Adjusted","Sort=A","Dates=H","DateFormat=P","Fill=—","Direction=H","UseDPDF=Y")</f>
        <v>—</v>
      </c>
      <c r="AC47" s="13" t="str">
        <f>_xll.BDH("XOM US Equity","EBITA","FQ1 2005","FQ1 2005","Currency=USD","Period=FQ","BEST_FPERIOD_OVERRIDE=FQ","FILING_STATUS=OR","SCALING_FORMAT=MLN","FA_ADJUSTED=Adjusted","Sort=A","Dates=H","DateFormat=P","Fill=—","Direction=H","UseDPDF=Y")</f>
        <v>—</v>
      </c>
      <c r="AD47" s="13" t="str">
        <f>_xll.BDH("XOM US Equity","EBITA","FQ2 2005","FQ2 2005","Currency=USD","Period=FQ","BEST_FPERIOD_OVERRIDE=FQ","FILING_STATUS=OR","SCALING_FORMAT=MLN","FA_ADJUSTED=Adjusted","Sort=A","Dates=H","DateFormat=P","Fill=—","Direction=H","UseDPDF=Y")</f>
        <v>—</v>
      </c>
      <c r="AE47" s="13" t="str">
        <f>_xll.BDH("XOM US Equity","EBITA","FQ3 2005","FQ3 2005","Currency=USD","Period=FQ","BEST_FPERIOD_OVERRIDE=FQ","FILING_STATUS=OR","SCALING_FORMAT=MLN","FA_ADJUSTED=Adjusted","Sort=A","Dates=H","DateFormat=P","Fill=—","Direction=H","UseDPDF=Y")</f>
        <v>—</v>
      </c>
      <c r="AF47" s="13" t="str">
        <f>_xll.BDH("XOM US Equity","EBITA","FQ4 2005","FQ4 2005","Currency=USD","Period=FQ","BEST_FPERIOD_OVERRIDE=FQ","FILING_STATUS=OR","SCALING_FORMAT=MLN","FA_ADJUSTED=Adjusted","Sort=A","Dates=H","DateFormat=P","Fill=—","Direction=H","UseDPDF=Y")</f>
        <v>—</v>
      </c>
      <c r="AG47" s="13" t="str">
        <f>_xll.BDH("XOM US Equity","EBITA","FQ1 2006","FQ1 2006","Currency=USD","Period=FQ","BEST_FPERIOD_OVERRIDE=FQ","FILING_STATUS=OR","SCALING_FORMAT=MLN","FA_ADJUSTED=Adjusted","Sort=A","Dates=H","DateFormat=P","Fill=—","Direction=H","UseDPDF=Y")</f>
        <v>—</v>
      </c>
      <c r="AH47" s="13">
        <f>_xll.BDH("XOM US Equity","EBITA","FQ2 2006","FQ2 2006","Currency=USD","Period=FQ","BEST_FPERIOD_OVERRIDE=FQ","FILING_STATUS=OR","SCALING_FORMAT=MLN","FA_ADJUSTED=Adjusted","Sort=A","Dates=H","DateFormat=P","Fill=—","Direction=H","UseDPDF=Y")</f>
        <v>15554</v>
      </c>
      <c r="AI47" s="13">
        <f>_xll.BDH("XOM US Equity","EBITA","FQ3 2006","FQ3 2006","Currency=USD","Period=FQ","BEST_FPERIOD_OVERRIDE=FQ","FILING_STATUS=OR","SCALING_FORMAT=MLN","FA_ADJUSTED=Adjusted","Sort=A","Dates=H","DateFormat=P","Fill=—","Direction=H","UseDPDF=Y")</f>
        <v>15426</v>
      </c>
      <c r="AJ47" s="13">
        <f>_xll.BDH("XOM US Equity","EBITA","FQ4 2006","FQ4 2006","Currency=USD","Period=FQ","BEST_FPERIOD_OVERRIDE=FQ","FILING_STATUS=OR","SCALING_FORMAT=MLN","FA_ADJUSTED=Adjusted","Sort=A","Dates=H","DateFormat=P","Fill=—","Direction=H","UseDPDF=Y")</f>
        <v>12816</v>
      </c>
      <c r="AK47" s="13">
        <f>_xll.BDH("XOM US Equity","EBITA","FQ1 2007","FQ1 2007","Currency=USD","Period=FQ","BEST_FPERIOD_OVERRIDE=FQ","FILING_STATUS=OR","SCALING_FORMAT=MLN","FA_ADJUSTED=Adjusted","Sort=A","Dates=H","DateFormat=P","Fill=—","Direction=H","UseDPDF=Y")</f>
        <v>13368</v>
      </c>
      <c r="AL47" s="13">
        <f>_xll.BDH("XOM US Equity","EBITA","FQ2 2007","FQ2 2007","Currency=USD","Period=FQ","BEST_FPERIOD_OVERRIDE=FQ","FILING_STATUS=OR","SCALING_FORMAT=MLN","FA_ADJUSTED=Adjusted","Sort=A","Dates=H","DateFormat=P","Fill=—","Direction=H","UseDPDF=Y")</f>
        <v>14921</v>
      </c>
      <c r="AM47" s="13">
        <f>_xll.BDH("XOM US Equity","EBITA","FQ3 2007","FQ3 2007","Currency=USD","Period=FQ","BEST_FPERIOD_OVERRIDE=FQ","FILING_STATUS=OR","SCALING_FORMAT=MLN","FA_ADJUSTED=Adjusted","Sort=A","Dates=H","DateFormat=P","Fill=—","Direction=H","UseDPDF=Y")</f>
        <v>13910</v>
      </c>
      <c r="AN47" s="13">
        <f>_xll.BDH("XOM US Equity","EBITA","FQ4 2007","FQ4 2007","Currency=USD","Period=FQ","BEST_FPERIOD_OVERRIDE=FQ","FILING_STATUS=OR","SCALING_FORMAT=MLN","FA_ADJUSTED=Adjusted","Sort=A","Dates=H","DateFormat=P","Fill=—","Direction=H","UseDPDF=Y")</f>
        <v>15456</v>
      </c>
      <c r="AO47" s="13">
        <f>_xll.BDH("XOM US Equity","EBITA","FQ1 2008","FQ1 2008","Currency=USD","Period=FQ","BEST_FPERIOD_OVERRIDE=FQ","FILING_STATUS=OR","SCALING_FORMAT=MLN","FA_ADJUSTED=Adjusted","Sort=A","Dates=H","DateFormat=P","Fill=—","Direction=H","UseDPDF=Y")</f>
        <v>17795</v>
      </c>
      <c r="AP47" s="13">
        <f>_xll.BDH("XOM US Equity","EBITA","FQ2 2008","FQ2 2008","Currency=USD","Period=FQ","BEST_FPERIOD_OVERRIDE=FQ","FILING_STATUS=OR","SCALING_FORMAT=MLN","FA_ADJUSTED=Adjusted","Sort=A","Dates=H","DateFormat=P","Fill=—","Direction=H","UseDPDF=Y")</f>
        <v>18242</v>
      </c>
    </row>
    <row r="48" spans="1:42" x14ac:dyDescent="0.25">
      <c r="A48" s="10" t="s">
        <v>157</v>
      </c>
      <c r="B48" s="10" t="s">
        <v>157</v>
      </c>
      <c r="C48" s="13">
        <f>_xll.BDH("XOM US Equity","EBIT","FQ3 1998","FQ3 1998","Currency=USD","Period=FQ","BEST_FPERIOD_OVERRIDE=FQ","FILING_STATUS=OR","SCALING_FORMAT=MLN","FA_ADJUSTED=Adjusted","Sort=A","Dates=H","DateFormat=P","Fill=—","Direction=H","UseDPDF=Y")</f>
        <v>1662</v>
      </c>
      <c r="D48" s="13" t="str">
        <f>_xll.BDH("XOM US Equity","EBIT","FQ4 1998","FQ4 1998","Currency=USD","Period=FQ","BEST_FPERIOD_OVERRIDE=FQ","FILING_STATUS=OR","SCALING_FORMAT=MLN","FA_ADJUSTED=Adjusted","Sort=A","Dates=H","DateFormat=P","Fill=—","Direction=H","UseDPDF=Y")</f>
        <v>—</v>
      </c>
      <c r="E48" s="13">
        <f>_xll.BDH("XOM US Equity","EBIT","FQ1 1999","FQ1 1999","Currency=USD","Period=FQ","BEST_FPERIOD_OVERRIDE=FQ","FILING_STATUS=OR","SCALING_FORMAT=MLN","FA_ADJUSTED=Adjusted","Sort=A","Dates=H","DateFormat=P","Fill=—","Direction=H","UseDPDF=Y")</f>
        <v>487</v>
      </c>
      <c r="F48" s="13">
        <f>_xll.BDH("XOM US Equity","EBIT","FQ2 1999","FQ2 1999","Currency=USD","Period=FQ","BEST_FPERIOD_OVERRIDE=FQ","FILING_STATUS=OR","SCALING_FORMAT=MLN","FA_ADJUSTED=Adjusted","Sort=A","Dates=H","DateFormat=P","Fill=—","Direction=H","UseDPDF=Y")</f>
        <v>1194</v>
      </c>
      <c r="G48" s="13">
        <f>_xll.BDH("XOM US Equity","EBIT","FQ3 1999","FQ3 1999","Currency=USD","Period=FQ","BEST_FPERIOD_OVERRIDE=FQ","FILING_STATUS=OR","SCALING_FORMAT=MLN","FA_ADJUSTED=Adjusted","Sort=A","Dates=H","DateFormat=P","Fill=—","Direction=H","UseDPDF=Y")</f>
        <v>2020</v>
      </c>
      <c r="H48" s="13">
        <f>_xll.BDH("XOM US Equity","EBIT","FQ4 1999","FQ4 1999","Currency=USD","Period=FQ","BEST_FPERIOD_OVERRIDE=FQ","FILING_STATUS=OR","SCALING_FORMAT=MLN","FA_ADJUSTED=Adjusted","Sort=A","Dates=H","DateFormat=P","Fill=—","Direction=H","UseDPDF=Y")</f>
        <v>5916</v>
      </c>
      <c r="I48" s="13">
        <f>_xll.BDH("XOM US Equity","EBIT","FQ1 2000","FQ1 2000","Currency=USD","Period=FQ","BEST_FPERIOD_OVERRIDE=FQ","FILING_STATUS=OR","SCALING_FORMAT=MLN","FA_ADJUSTED=Adjusted","Sort=A","Dates=H","DateFormat=P","Fill=—","Direction=H","UseDPDF=Y")</f>
        <v>5234</v>
      </c>
      <c r="J48" s="13">
        <f>_xll.BDH("XOM US Equity","EBIT","FQ2 2000","FQ2 2000","Currency=USD","Period=FQ","BEST_FPERIOD_OVERRIDE=FQ","FILING_STATUS=OR","SCALING_FORMAT=MLN","FA_ADJUSTED=Adjusted","Sort=A","Dates=H","DateFormat=P","Fill=—","Direction=H","UseDPDF=Y")</f>
        <v>6124</v>
      </c>
      <c r="K48" s="13">
        <f>_xll.BDH("XOM US Equity","EBIT","FQ3 2000","FQ3 2000","Currency=USD","Period=FQ","BEST_FPERIOD_OVERRIDE=FQ","FILING_STATUS=OR","SCALING_FORMAT=MLN","FA_ADJUSTED=Adjusted","Sort=A","Dates=H","DateFormat=P","Fill=—","Direction=H","UseDPDF=Y")</f>
        <v>6179</v>
      </c>
      <c r="L48" s="13">
        <f>_xll.BDH("XOM US Equity","EBIT","FQ4 2000","FQ4 2000","Currency=USD","Period=FQ","BEST_FPERIOD_OVERRIDE=FQ","FILING_STATUS=OR","SCALING_FORMAT=MLN","FA_ADJUSTED=Adjusted","Sort=A","Dates=H","DateFormat=P","Fill=—","Direction=H","UseDPDF=Y")</f>
        <v>7642</v>
      </c>
      <c r="M48" s="13">
        <f>_xll.BDH("XOM US Equity","EBIT","FQ1 2001","FQ1 2001","Currency=USD","Period=FQ","BEST_FPERIOD_OVERRIDE=FQ","FILING_STATUS=OR","SCALING_FORMAT=MLN","FA_ADJUSTED=Adjusted","Sort=A","Dates=H","DateFormat=P","Fill=—","Direction=H","UseDPDF=Y")</f>
        <v>7406</v>
      </c>
      <c r="N48" s="13">
        <f>_xll.BDH("XOM US Equity","EBIT","FQ2 2001","FQ2 2001","Currency=USD","Period=FQ","BEST_FPERIOD_OVERRIDE=FQ","FILING_STATUS=OR","SCALING_FORMAT=MLN","FA_ADJUSTED=Adjusted","Sort=A","Dates=H","DateFormat=P","Fill=—","Direction=H","UseDPDF=Y")</f>
        <v>6109</v>
      </c>
      <c r="O48" s="13">
        <f>_xll.BDH("XOM US Equity","EBIT","FQ3 2001","FQ3 2001","Currency=USD","Period=FQ","BEST_FPERIOD_OVERRIDE=FQ","FILING_STATUS=OR","SCALING_FORMAT=MLN","FA_ADJUSTED=Adjusted","Sort=A","Dates=H","DateFormat=P","Fill=—","Direction=H","UseDPDF=Y")</f>
        <v>4605</v>
      </c>
      <c r="P48" s="13">
        <f>_xll.BDH("XOM US Equity","EBIT","FQ4 2001","FQ4 2001","Currency=USD","Period=FQ","BEST_FPERIOD_OVERRIDE=FQ","FILING_STATUS=OR","SCALING_FORMAT=MLN","FA_ADJUSTED=Adjusted","Sort=A","Dates=H","DateFormat=P","Fill=—","Direction=H","UseDPDF=Y")</f>
        <v>2674</v>
      </c>
      <c r="Q48" s="13">
        <f>_xll.BDH("XOM US Equity","EBIT","FQ1 2002","FQ1 2002","Currency=USD","Period=FQ","BEST_FPERIOD_OVERRIDE=FQ","FILING_STATUS=OR","SCALING_FORMAT=MLN","FA_ADJUSTED=Adjusted","Sort=A","Dates=H","DateFormat=P","Fill=—","Direction=H","UseDPDF=Y")</f>
        <v>2735</v>
      </c>
      <c r="R48" s="13">
        <f>_xll.BDH("XOM US Equity","EBIT","FQ2 2002","FQ2 2002","Currency=USD","Period=FQ","BEST_FPERIOD_OVERRIDE=FQ","FILING_STATUS=OR","SCALING_FORMAT=MLN","FA_ADJUSTED=Adjusted","Sort=A","Dates=H","DateFormat=P","Fill=—","Direction=H","UseDPDF=Y")</f>
        <v>3571</v>
      </c>
      <c r="S48" s="13">
        <f>_xll.BDH("XOM US Equity","EBIT","FQ3 2002","FQ3 2002","Currency=USD","Period=FQ","BEST_FPERIOD_OVERRIDE=FQ","FILING_STATUS=OR","SCALING_FORMAT=MLN","FA_ADJUSTED=Adjusted","Sort=A","Dates=H","DateFormat=P","Fill=—","Direction=H","UseDPDF=Y")</f>
        <v>3850</v>
      </c>
      <c r="T48" s="13">
        <f>_xll.BDH("XOM US Equity","EBIT","FQ4 2002","FQ4 2002","Currency=USD","Period=FQ","BEST_FPERIOD_OVERRIDE=FQ","FILING_STATUS=OR","SCALING_FORMAT=MLN","FA_ADJUSTED=Adjusted","Sort=A","Dates=H","DateFormat=P","Fill=—","Direction=H","UseDPDF=Y")</f>
        <v>4863</v>
      </c>
      <c r="U48" s="13">
        <f>_xll.BDH("XOM US Equity","EBIT","FQ1 2003","FQ1 2003","Currency=USD","Period=FQ","BEST_FPERIOD_OVERRIDE=FQ","FILING_STATUS=OR","SCALING_FORMAT=MLN","FA_ADJUSTED=Adjusted","Sort=A","Dates=H","DateFormat=P","Fill=—","Direction=H","UseDPDF=Y")</f>
        <v>6701</v>
      </c>
      <c r="V48" s="13">
        <f>_xll.BDH("XOM US Equity","EBIT","FQ2 2003","FQ2 2003","Currency=USD","Period=FQ","BEST_FPERIOD_OVERRIDE=FQ","FILING_STATUS=OR","SCALING_FORMAT=MLN","FA_ADJUSTED=Adjusted","Sort=A","Dates=H","DateFormat=P","Fill=—","Direction=H","UseDPDF=Y")</f>
        <v>5920</v>
      </c>
      <c r="W48" s="13">
        <f>_xll.BDH("XOM US Equity","EBIT","FQ3 2003","FQ3 2003","Currency=USD","Period=FQ","BEST_FPERIOD_OVERRIDE=FQ","FILING_STATUS=OR","SCALING_FORMAT=MLN","FA_ADJUSTED=Adjusted","Sort=A","Dates=H","DateFormat=P","Fill=—","Direction=H","UseDPDF=Y")</f>
        <v>5023</v>
      </c>
      <c r="X48" s="13">
        <f>_xll.BDH("XOM US Equity","EBIT","FQ4 2003","FQ4 2003","Currency=USD","Period=FQ","BEST_FPERIOD_OVERRIDE=FQ","FILING_STATUS=OR","SCALING_FORMAT=MLN","FA_ADJUSTED=Adjusted","Sort=A","Dates=H","DateFormat=P","Fill=—","Direction=H","UseDPDF=Y")</f>
        <v>5539</v>
      </c>
      <c r="Y48" s="13">
        <f>_xll.BDH("XOM US Equity","EBIT","FQ1 2004","FQ1 2004","Currency=USD","Period=FQ","BEST_FPERIOD_OVERRIDE=FQ","FILING_STATUS=OR","SCALING_FORMAT=MLN","FA_ADJUSTED=Adjusted","Sort=A","Dates=H","DateFormat=P","Fill=—","Direction=H","UseDPDF=Y")</f>
        <v>7622</v>
      </c>
      <c r="Z48" s="13">
        <f>_xll.BDH("XOM US Equity","EBIT","FQ2 2004","FQ2 2004","Currency=USD","Period=FQ","BEST_FPERIOD_OVERRIDE=FQ","FILING_STATUS=OR","SCALING_FORMAT=MLN","FA_ADJUSTED=Adjusted","Sort=A","Dates=H","DateFormat=P","Fill=—","Direction=H","UseDPDF=Y")</f>
        <v>8199</v>
      </c>
      <c r="AA48" s="13">
        <f>_xll.BDH("XOM US Equity","EBIT","FQ3 2004","FQ3 2004","Currency=USD","Period=FQ","BEST_FPERIOD_OVERRIDE=FQ","FILING_STATUS=OR","SCALING_FORMAT=MLN","FA_ADJUSTED=Adjusted","Sort=A","Dates=H","DateFormat=P","Fill=—","Direction=H","UseDPDF=Y")</f>
        <v>8671</v>
      </c>
      <c r="AB48" s="13">
        <f>_xll.BDH("XOM US Equity","EBIT","FQ4 2004","FQ4 2004","Currency=USD","Period=FQ","BEST_FPERIOD_OVERRIDE=FQ","FILING_STATUS=OR","SCALING_FORMAT=MLN","FA_ADJUSTED=Adjusted","Sort=A","Dates=H","DateFormat=P","Fill=—","Direction=H","UseDPDF=Y")</f>
        <v>11380</v>
      </c>
      <c r="AC48" s="13">
        <f>_xll.BDH("XOM US Equity","EBIT","FQ1 2005","FQ1 2005","Currency=USD","Period=FQ","BEST_FPERIOD_OVERRIDE=FQ","FILING_STATUS=OR","SCALING_FORMAT=MLN","FA_ADJUSTED=Adjusted","Sort=A","Dates=H","DateFormat=P","Fill=—","Direction=H","UseDPDF=Y")</f>
        <v>10478</v>
      </c>
      <c r="AD48" s="13">
        <f>_xll.BDH("XOM US Equity","EBIT","FQ2 2005","FQ2 2005","Currency=USD","Period=FQ","BEST_FPERIOD_OVERRIDE=FQ","FILING_STATUS=OR","SCALING_FORMAT=MLN","FA_ADJUSTED=Adjusted","Sort=A","Dates=H","DateFormat=P","Fill=—","Direction=H","UseDPDF=Y")</f>
        <v>11256</v>
      </c>
      <c r="AE48" s="13">
        <f>_xll.BDH("XOM US Equity","EBIT","FQ3 2005","FQ3 2005","Currency=USD","Period=FQ","BEST_FPERIOD_OVERRIDE=FQ","FILING_STATUS=OR","SCALING_FORMAT=MLN","FA_ADJUSTED=Adjusted","Sort=A","Dates=H","DateFormat=P","Fill=—","Direction=H","UseDPDF=Y")</f>
        <v>12313</v>
      </c>
      <c r="AF48" s="13">
        <f>_xll.BDH("XOM US Equity","EBIT","FQ4 2005","FQ4 2005","Currency=USD","Period=FQ","BEST_FPERIOD_OVERRIDE=FQ","FILING_STATUS=OR","SCALING_FORMAT=MLN","FA_ADJUSTED=Adjusted","Sort=A","Dates=H","DateFormat=P","Fill=—","Direction=H","UseDPDF=Y")</f>
        <v>14955</v>
      </c>
      <c r="AG48" s="13">
        <f>_xll.BDH("XOM US Equity","EBIT","FQ1 2006","FQ1 2006","Currency=USD","Period=FQ","BEST_FPERIOD_OVERRIDE=FQ","FILING_STATUS=OR","SCALING_FORMAT=MLN","FA_ADJUSTED=Adjusted","Sort=A","Dates=H","DateFormat=P","Fill=—","Direction=H","UseDPDF=Y")</f>
        <v>13143</v>
      </c>
      <c r="AH48" s="13">
        <f>_xll.BDH("XOM US Equity","EBIT","FQ2 2006","FQ2 2006","Currency=USD","Period=FQ","BEST_FPERIOD_OVERRIDE=FQ","FILING_STATUS=OR","SCALING_FORMAT=MLN","FA_ADJUSTED=Adjusted","Sort=A","Dates=H","DateFormat=P","Fill=—","Direction=H","UseDPDF=Y")</f>
        <v>15554</v>
      </c>
      <c r="AI48" s="13">
        <f>_xll.BDH("XOM US Equity","EBIT","FQ3 2006","FQ3 2006","Currency=USD","Period=FQ","BEST_FPERIOD_OVERRIDE=FQ","FILING_STATUS=OR","SCALING_FORMAT=MLN","FA_ADJUSTED=Adjusted","Sort=A","Dates=H","DateFormat=P","Fill=—","Direction=H","UseDPDF=Y")</f>
        <v>15426</v>
      </c>
      <c r="AJ48" s="13">
        <f>_xll.BDH("XOM US Equity","EBIT","FQ4 2006","FQ4 2006","Currency=USD","Period=FQ","BEST_FPERIOD_OVERRIDE=FQ","FILING_STATUS=OR","SCALING_FORMAT=MLN","FA_ADJUSTED=Adjusted","Sort=A","Dates=H","DateFormat=P","Fill=—","Direction=H","UseDPDF=Y")</f>
        <v>12816</v>
      </c>
      <c r="AK48" s="13">
        <f>_xll.BDH("XOM US Equity","EBIT","FQ1 2007","FQ1 2007","Currency=USD","Period=FQ","BEST_FPERIOD_OVERRIDE=FQ","FILING_STATUS=OR","SCALING_FORMAT=MLN","FA_ADJUSTED=Adjusted","Sort=A","Dates=H","DateFormat=P","Fill=—","Direction=H","UseDPDF=Y")</f>
        <v>13368</v>
      </c>
      <c r="AL48" s="13">
        <f>_xll.BDH("XOM US Equity","EBIT","FQ2 2007","FQ2 2007","Currency=USD","Period=FQ","BEST_FPERIOD_OVERRIDE=FQ","FILING_STATUS=OR","SCALING_FORMAT=MLN","FA_ADJUSTED=Adjusted","Sort=A","Dates=H","DateFormat=P","Fill=—","Direction=H","UseDPDF=Y")</f>
        <v>14921</v>
      </c>
      <c r="AM48" s="13">
        <f>_xll.BDH("XOM US Equity","EBIT","FQ3 2007","FQ3 2007","Currency=USD","Period=FQ","BEST_FPERIOD_OVERRIDE=FQ","FILING_STATUS=OR","SCALING_FORMAT=MLN","FA_ADJUSTED=Adjusted","Sort=A","Dates=H","DateFormat=P","Fill=—","Direction=H","UseDPDF=Y")</f>
        <v>13910</v>
      </c>
      <c r="AN48" s="13">
        <f>_xll.BDH("XOM US Equity","EBIT","FQ4 2007","FQ4 2007","Currency=USD","Period=FQ","BEST_FPERIOD_OVERRIDE=FQ","FILING_STATUS=OR","SCALING_FORMAT=MLN","FA_ADJUSTED=Adjusted","Sort=A","Dates=H","DateFormat=P","Fill=—","Direction=H","UseDPDF=Y")</f>
        <v>15456</v>
      </c>
      <c r="AO48" s="13">
        <f>_xll.BDH("XOM US Equity","EBIT","FQ1 2008","FQ1 2008","Currency=USD","Period=FQ","BEST_FPERIOD_OVERRIDE=FQ","FILING_STATUS=OR","SCALING_FORMAT=MLN","FA_ADJUSTED=Adjusted","Sort=A","Dates=H","DateFormat=P","Fill=—","Direction=H","UseDPDF=Y")</f>
        <v>17795</v>
      </c>
      <c r="AP48" s="13">
        <f>_xll.BDH("XOM US Equity","EBIT","FQ2 2008","FQ2 2008","Currency=USD","Period=FQ","BEST_FPERIOD_OVERRIDE=FQ","FILING_STATUS=OR","SCALING_FORMAT=MLN","FA_ADJUSTED=Adjusted","Sort=A","Dates=H","DateFormat=P","Fill=—","Direction=H","UseDPDF=Y")</f>
        <v>18242</v>
      </c>
    </row>
    <row r="49" spans="1:42" x14ac:dyDescent="0.25">
      <c r="A49" s="10" t="s">
        <v>158</v>
      </c>
      <c r="B49" s="10" t="s">
        <v>159</v>
      </c>
      <c r="C49" s="14">
        <f>_xll.BDH("XOM US Equity","GROSS_MARGIN","FQ3 1998","FQ3 1998","Currency=USD","Period=FQ","BEST_FPERIOD_OVERRIDE=FQ","FILING_STATUS=OR","FA_ADJUSTED=Adjusted","Sort=A","Dates=H","DateFormat=P","Fill=—","Direction=H","UseDPDF=Y")</f>
        <v>38.919499999999999</v>
      </c>
      <c r="D49" s="14" t="str">
        <f>_xll.BDH("XOM US Equity","GROSS_MARGIN","FQ4 1998","FQ4 1998","Currency=USD","Period=FQ","BEST_FPERIOD_OVERRIDE=FQ","FILING_STATUS=OR","FA_ADJUSTED=Adjusted","Sort=A","Dates=H","DateFormat=P","Fill=—","Direction=H","UseDPDF=Y")</f>
        <v>—</v>
      </c>
      <c r="E49" s="14">
        <f>_xll.BDH("XOM US Equity","GROSS_MARGIN","FQ1 1999","FQ1 1999","Currency=USD","Period=FQ","BEST_FPERIOD_OVERRIDE=FQ","FILING_STATUS=OR","FA_ADJUSTED=Adjusted","Sort=A","Dates=H","DateFormat=P","Fill=—","Direction=H","UseDPDF=Y")</f>
        <v>37.072499999999998</v>
      </c>
      <c r="F49" s="14">
        <f>_xll.BDH("XOM US Equity","GROSS_MARGIN","FQ2 1999","FQ2 1999","Currency=USD","Period=FQ","BEST_FPERIOD_OVERRIDE=FQ","FILING_STATUS=OR","FA_ADJUSTED=Adjusted","Sort=A","Dates=H","DateFormat=P","Fill=—","Direction=H","UseDPDF=Y")</f>
        <v>36.445900000000002</v>
      </c>
      <c r="G49" s="14">
        <f>_xll.BDH("XOM US Equity","GROSS_MARGIN","FQ3 1999","FQ3 1999","Currency=USD","Period=FQ","BEST_FPERIOD_OVERRIDE=FQ","FILING_STATUS=OR","FA_ADJUSTED=Adjusted","Sort=A","Dates=H","DateFormat=P","Fill=—","Direction=H","UseDPDF=Y")</f>
        <v>33.582599999999999</v>
      </c>
      <c r="H49" s="14">
        <f>_xll.BDH("XOM US Equity","GROSS_MARGIN","FQ4 1999","FQ4 1999","Currency=USD","Period=FQ","BEST_FPERIOD_OVERRIDE=FQ","FILING_STATUS=OR","FA_ADJUSTED=Adjusted","Sort=A","Dates=H","DateFormat=P","Fill=—","Direction=H","UseDPDF=Y")</f>
        <v>37.4191</v>
      </c>
      <c r="I49" s="14">
        <f>_xll.BDH("XOM US Equity","GROSS_MARGIN","FQ1 2000","FQ1 2000","Currency=USD","Period=FQ","BEST_FPERIOD_OVERRIDE=FQ","FILING_STATUS=OR","FA_ADJUSTED=Adjusted","Sort=A","Dates=H","DateFormat=P","Fill=—","Direction=H","UseDPDF=Y")</f>
        <v>34.330300000000001</v>
      </c>
      <c r="J49" s="14">
        <f>_xll.BDH("XOM US Equity","GROSS_MARGIN","FQ2 2000","FQ2 2000","Currency=USD","Period=FQ","BEST_FPERIOD_OVERRIDE=FQ","FILING_STATUS=OR","FA_ADJUSTED=Adjusted","Sort=A","Dates=H","DateFormat=P","Fill=—","Direction=H","UseDPDF=Y")</f>
        <v>33.840600000000002</v>
      </c>
      <c r="K49" s="14">
        <f>_xll.BDH("XOM US Equity","GROSS_MARGIN","FQ3 2000","FQ3 2000","Currency=USD","Period=FQ","BEST_FPERIOD_OVERRIDE=FQ","FILING_STATUS=OR","FA_ADJUSTED=Adjusted","Sort=A","Dates=H","DateFormat=P","Fill=—","Direction=H","UseDPDF=Y")</f>
        <v>35.074199999999998</v>
      </c>
      <c r="L49" s="14">
        <f>_xll.BDH("XOM US Equity","GROSS_MARGIN","FQ4 2000","FQ4 2000","Currency=USD","Period=FQ","BEST_FPERIOD_OVERRIDE=FQ","FILING_STATUS=OR","FA_ADJUSTED=Adjusted","Sort=A","Dates=H","DateFormat=P","Fill=—","Direction=H","UseDPDF=Y")</f>
        <v>34.281300000000002</v>
      </c>
      <c r="M49" s="14">
        <f>_xll.BDH("XOM US Equity","GROSS_MARGIN","FQ1 2001","FQ1 2001","Currency=USD","Period=FQ","BEST_FPERIOD_OVERRIDE=FQ","FILING_STATUS=OR","FA_ADJUSTED=Adjusted","Sort=A","Dates=H","DateFormat=P","Fill=—","Direction=H","UseDPDF=Y")</f>
        <v>37.294699999999999</v>
      </c>
      <c r="N49" s="14">
        <f>_xll.BDH("XOM US Equity","GROSS_MARGIN","FQ2 2001","FQ2 2001","Currency=USD","Period=FQ","BEST_FPERIOD_OVERRIDE=FQ","FILING_STATUS=OR","FA_ADJUSTED=Adjusted","Sort=A","Dates=H","DateFormat=P","Fill=—","Direction=H","UseDPDF=Y")</f>
        <v>35.3825</v>
      </c>
      <c r="O49" s="14">
        <f>_xll.BDH("XOM US Equity","GROSS_MARGIN","FQ3 2001","FQ3 2001","Currency=USD","Period=FQ","BEST_FPERIOD_OVERRIDE=FQ","FILING_STATUS=OR","FA_ADJUSTED=Adjusted","Sort=A","Dates=H","DateFormat=P","Fill=—","Direction=H","UseDPDF=Y")</f>
        <v>17.7209</v>
      </c>
      <c r="P49" s="14">
        <f>_xll.BDH("XOM US Equity","GROSS_MARGIN","FQ4 2001","FQ4 2001","Currency=USD","Period=FQ","BEST_FPERIOD_OVERRIDE=FQ","FILING_STATUS=OR","FA_ADJUSTED=Adjusted","Sort=A","Dates=H","DateFormat=P","Fill=—","Direction=H","UseDPDF=Y")</f>
        <v>17.735199999999999</v>
      </c>
      <c r="Q49" s="14">
        <f>_xll.BDH("XOM US Equity","GROSS_MARGIN","FQ1 2002","FQ1 2002","Currency=USD","Period=FQ","BEST_FPERIOD_OVERRIDE=FQ","FILING_STATUS=OR","FA_ADJUSTED=Adjusted","Sort=A","Dates=H","DateFormat=P","Fill=—","Direction=H","UseDPDF=Y")</f>
        <v>37.007899999999999</v>
      </c>
      <c r="R49" s="14">
        <f>_xll.BDH("XOM US Equity","GROSS_MARGIN","FQ2 2002","FQ2 2002","Currency=USD","Period=FQ","BEST_FPERIOD_OVERRIDE=FQ","FILING_STATUS=OR","FA_ADJUSTED=Adjusted","Sort=A","Dates=H","DateFormat=P","Fill=—","Direction=H","UseDPDF=Y")</f>
        <v>34.890900000000002</v>
      </c>
      <c r="S49" s="14">
        <f>_xll.BDH("XOM US Equity","GROSS_MARGIN","FQ3 2002","FQ3 2002","Currency=USD","Period=FQ","BEST_FPERIOD_OVERRIDE=FQ","FILING_STATUS=OR","FA_ADJUSTED=Adjusted","Sort=A","Dates=H","DateFormat=P","Fill=—","Direction=H","UseDPDF=Y")</f>
        <v>32.060200000000002</v>
      </c>
      <c r="T49" s="14">
        <f>_xll.BDH("XOM US Equity","GROSS_MARGIN","FQ4 2002","FQ4 2002","Currency=USD","Period=FQ","BEST_FPERIOD_OVERRIDE=FQ","FILING_STATUS=OR","FA_ADJUSTED=Adjusted","Sort=A","Dates=H","DateFormat=P","Fill=—","Direction=H","UseDPDF=Y")</f>
        <v>30.426400000000001</v>
      </c>
      <c r="U49" s="14">
        <f>_xll.BDH("XOM US Equity","GROSS_MARGIN","FQ1 2003","FQ1 2003","Currency=USD","Period=FQ","BEST_FPERIOD_OVERRIDE=FQ","FILING_STATUS=OR","FA_ADJUSTED=Adjusted","Sort=A","Dates=H","DateFormat=P","Fill=—","Direction=H","UseDPDF=Y")</f>
        <v>34.507100000000001</v>
      </c>
      <c r="V49" s="14">
        <f>_xll.BDH("XOM US Equity","GROSS_MARGIN","FQ2 2003","FQ2 2003","Currency=USD","Period=FQ","BEST_FPERIOD_OVERRIDE=FQ","FILING_STATUS=OR","FA_ADJUSTED=Adjusted","Sort=A","Dates=H","DateFormat=P","Fill=—","Direction=H","UseDPDF=Y")</f>
        <v>36.9099</v>
      </c>
      <c r="W49" s="14">
        <f>_xll.BDH("XOM US Equity","GROSS_MARGIN","FQ3 2003","FQ3 2003","Currency=USD","Period=FQ","BEST_FPERIOD_OVERRIDE=FQ","FILING_STATUS=OR","FA_ADJUSTED=Adjusted","Sort=A","Dates=H","DateFormat=P","Fill=—","Direction=H","UseDPDF=Y")</f>
        <v>34.254600000000003</v>
      </c>
      <c r="X49" s="14">
        <f>_xll.BDH("XOM US Equity","GROSS_MARGIN","FQ4 2003","FQ4 2003","Currency=USD","Period=FQ","BEST_FPERIOD_OVERRIDE=FQ","FILING_STATUS=OR","FA_ADJUSTED=Adjusted","Sort=A","Dates=H","DateFormat=P","Fill=—","Direction=H","UseDPDF=Y")</f>
        <v>35.567500000000003</v>
      </c>
      <c r="Y49" s="14">
        <f>_xll.BDH("XOM US Equity","GROSS_MARGIN","FQ1 2004","FQ1 2004","Currency=USD","Period=FQ","BEST_FPERIOD_OVERRIDE=FQ","FILING_STATUS=OR","FA_ADJUSTED=Adjusted","Sort=A","Dates=H","DateFormat=P","Fill=—","Direction=H","UseDPDF=Y")</f>
        <v>35.549300000000002</v>
      </c>
      <c r="Z49" s="14">
        <f>_xll.BDH("XOM US Equity","GROSS_MARGIN","FQ2 2004","FQ2 2004","Currency=USD","Period=FQ","BEST_FPERIOD_OVERRIDE=FQ","FILING_STATUS=OR","FA_ADJUSTED=Adjusted","Sort=A","Dates=H","DateFormat=P","Fill=—","Direction=H","UseDPDF=Y")</f>
        <v>34.586799999999997</v>
      </c>
      <c r="AA49" s="14">
        <f>_xll.BDH("XOM US Equity","GROSS_MARGIN","FQ3 2004","FQ3 2004","Currency=USD","Period=FQ","BEST_FPERIOD_OVERRIDE=FQ","FILING_STATUS=OR","FA_ADJUSTED=Adjusted","Sort=A","Dates=H","DateFormat=P","Fill=—","Direction=H","UseDPDF=Y")</f>
        <v>33.343699999999998</v>
      </c>
      <c r="AB49" s="14">
        <f>_xll.BDH("XOM US Equity","GROSS_MARGIN","FQ4 2004","FQ4 2004","Currency=USD","Period=FQ","BEST_FPERIOD_OVERRIDE=FQ","FILING_STATUS=OR","FA_ADJUSTED=Adjusted","Sort=A","Dates=H","DateFormat=P","Fill=—","Direction=H","UseDPDF=Y")</f>
        <v>35.584499999999998</v>
      </c>
      <c r="AC49" s="14">
        <f>_xll.BDH("XOM US Equity","GROSS_MARGIN","FQ1 2005","FQ1 2005","Currency=USD","Period=FQ","BEST_FPERIOD_OVERRIDE=FQ","FILING_STATUS=OR","FA_ADJUSTED=Adjusted","Sort=A","Dates=H","DateFormat=P","Fill=—","Direction=H","UseDPDF=Y")</f>
        <v>19.521899999999999</v>
      </c>
      <c r="AD49" s="14">
        <f>_xll.BDH("XOM US Equity","GROSS_MARGIN","FQ2 2005","FQ2 2005","Currency=USD","Period=FQ","BEST_FPERIOD_OVERRIDE=FQ","FILING_STATUS=OR","FA_ADJUSTED=Adjusted","Sort=A","Dates=H","DateFormat=P","Fill=—","Direction=H","UseDPDF=Y")</f>
        <v>18.933800000000002</v>
      </c>
      <c r="AE49" s="14">
        <f>_xll.BDH("XOM US Equity","GROSS_MARGIN","FQ3 2005","FQ3 2005","Currency=USD","Period=FQ","BEST_FPERIOD_OVERRIDE=FQ","FILING_STATUS=OR","FA_ADJUSTED=Adjusted","Sort=A","Dates=H","DateFormat=P","Fill=—","Direction=H","UseDPDF=Y")</f>
        <v>18.432700000000001</v>
      </c>
      <c r="AF49" s="14">
        <f>_xll.BDH("XOM US Equity","GROSS_MARGIN","FQ4 2005","FQ4 2005","Currency=USD","Period=FQ","BEST_FPERIOD_OVERRIDE=FQ","FILING_STATUS=OR","FA_ADJUSTED=Adjusted","Sort=A","Dates=H","DateFormat=P","Fill=—","Direction=H","UseDPDF=Y")</f>
        <v>32.856900000000003</v>
      </c>
      <c r="AG49" s="14">
        <f>_xll.BDH("XOM US Equity","GROSS_MARGIN","FQ1 2006","FQ1 2006","Currency=USD","Period=FQ","BEST_FPERIOD_OVERRIDE=FQ","FILING_STATUS=OR","FA_ADJUSTED=Adjusted","Sort=A","Dates=H","DateFormat=P","Fill=—","Direction=H","UseDPDF=Y")</f>
        <v>21.475300000000001</v>
      </c>
      <c r="AH49" s="14">
        <f>_xll.BDH("XOM US Equity","GROSS_MARGIN","FQ2 2006","FQ2 2006","Currency=USD","Period=FQ","BEST_FPERIOD_OVERRIDE=FQ","FILING_STATUS=OR","FA_ADJUSTED=Adjusted","Sort=A","Dates=H","DateFormat=P","Fill=—","Direction=H","UseDPDF=Y")</f>
        <v>21.963699999999999</v>
      </c>
      <c r="AI49" s="14">
        <f>_xll.BDH("XOM US Equity","GROSS_MARGIN","FQ3 2006","FQ3 2006","Currency=USD","Period=FQ","BEST_FPERIOD_OVERRIDE=FQ","FILING_STATUS=OR","FA_ADJUSTED=Adjusted","Sort=A","Dates=H","DateFormat=P","Fill=—","Direction=H","UseDPDF=Y")</f>
        <v>21.682600000000001</v>
      </c>
      <c r="AJ49" s="14">
        <f>_xll.BDH("XOM US Equity","GROSS_MARGIN","FQ4 2006","FQ4 2006","Currency=USD","Period=FQ","BEST_FPERIOD_OVERRIDE=FQ","FILING_STATUS=OR","FA_ADJUSTED=Adjusted","Sort=A","Dates=H","DateFormat=P","Fill=—","Direction=H","UseDPDF=Y")</f>
        <v>21.250399999999999</v>
      </c>
      <c r="AK49" s="14">
        <f>_xll.BDH("XOM US Equity","GROSS_MARGIN","FQ1 2007","FQ1 2007","Currency=USD","Period=FQ","BEST_FPERIOD_OVERRIDE=FQ","FILING_STATUS=OR","FA_ADJUSTED=Adjusted","Sort=A","Dates=H","DateFormat=P","Fill=—","Direction=H","UseDPDF=Y")</f>
        <v>22.1511</v>
      </c>
      <c r="AL49" s="14">
        <f>_xll.BDH("XOM US Equity","GROSS_MARGIN","FQ2 2007","FQ2 2007","Currency=USD","Period=FQ","BEST_FPERIOD_OVERRIDE=FQ","FILING_STATUS=OR","FA_ADJUSTED=Adjusted","Sort=A","Dates=H","DateFormat=P","Fill=—","Direction=H","UseDPDF=Y")</f>
        <v>21.847799999999999</v>
      </c>
      <c r="AM49" s="14">
        <f>_xll.BDH("XOM US Equity","GROSS_MARGIN","FQ3 2007","FQ3 2007","Currency=USD","Period=FQ","BEST_FPERIOD_OVERRIDE=FQ","FILING_STATUS=OR","FA_ADJUSTED=Adjusted","Sort=A","Dates=H","DateFormat=P","Fill=—","Direction=H","UseDPDF=Y")</f>
        <v>19.6523</v>
      </c>
      <c r="AN49" s="14">
        <f>_xll.BDH("XOM US Equity","GROSS_MARGIN","FQ4 2007","FQ4 2007","Currency=USD","Period=FQ","BEST_FPERIOD_OVERRIDE=FQ","FILING_STATUS=OR","FA_ADJUSTED=Adjusted","Sort=A","Dates=H","DateFormat=P","Fill=—","Direction=H","UseDPDF=Y")</f>
        <v>19.3657</v>
      </c>
      <c r="AO49" s="14">
        <f>_xll.BDH("XOM US Equity","GROSS_MARGIN","FQ1 2008","FQ1 2008","Currency=USD","Period=FQ","BEST_FPERIOD_OVERRIDE=FQ","FILING_STATUS=OR","FA_ADJUSTED=Adjusted","Sort=A","Dates=H","DateFormat=P","Fill=—","Direction=H","UseDPDF=Y")</f>
        <v>20.151499999999999</v>
      </c>
      <c r="AP49" s="14">
        <f>_xll.BDH("XOM US Equity","GROSS_MARGIN","FQ2 2008","FQ2 2008","Currency=USD","Period=FQ","BEST_FPERIOD_OVERRIDE=FQ","FILING_STATUS=OR","FA_ADJUSTED=Adjusted","Sort=A","Dates=H","DateFormat=P","Fill=—","Direction=H","UseDPDF=Y")</f>
        <v>18.4879</v>
      </c>
    </row>
    <row r="50" spans="1:42" x14ac:dyDescent="0.25">
      <c r="A50" s="10" t="s">
        <v>160</v>
      </c>
      <c r="B50" s="10" t="s">
        <v>161</v>
      </c>
      <c r="C50" s="14">
        <f>_xll.BDH("XOM US Equity","OPER_MARGIN","FQ3 1998","FQ3 1998","Currency=USD","Period=FQ","BEST_FPERIOD_OVERRIDE=FQ","FILING_STATUS=OR","FA_ADJUSTED=Adjusted","Sort=A","Dates=H","DateFormat=P","Fill=—","Direction=H","UseDPDF=Y")</f>
        <v>6.6856999999999998</v>
      </c>
      <c r="D50" s="14" t="str">
        <f>_xll.BDH("XOM US Equity","OPER_MARGIN","FQ4 1998","FQ4 1998","Currency=USD","Period=FQ","BEST_FPERIOD_OVERRIDE=FQ","FILING_STATUS=OR","FA_ADJUSTED=Adjusted","Sort=A","Dates=H","DateFormat=P","Fill=—","Direction=H","UseDPDF=Y")</f>
        <v>—</v>
      </c>
      <c r="E50" s="14">
        <f>_xll.BDH("XOM US Equity","OPER_MARGIN","FQ1 1999","FQ1 1999","Currency=USD","Period=FQ","BEST_FPERIOD_OVERRIDE=FQ","FILING_STATUS=OR","FA_ADJUSTED=Adjusted","Sort=A","Dates=H","DateFormat=P","Fill=—","Direction=H","UseDPDF=Y")</f>
        <v>2.1189999999999998</v>
      </c>
      <c r="F50" s="14">
        <f>_xll.BDH("XOM US Equity","OPER_MARGIN","FQ2 1999","FQ2 1999","Currency=USD","Period=FQ","BEST_FPERIOD_OVERRIDE=FQ","FILING_STATUS=OR","FA_ADJUSTED=Adjusted","Sort=A","Dates=H","DateFormat=P","Fill=—","Direction=H","UseDPDF=Y")</f>
        <v>4.7202999999999999</v>
      </c>
      <c r="G50" s="14">
        <f>_xll.BDH("XOM US Equity","OPER_MARGIN","FQ3 1999","FQ3 1999","Currency=USD","Period=FQ","BEST_FPERIOD_OVERRIDE=FQ","FILING_STATUS=OR","FA_ADJUSTED=Adjusted","Sort=A","Dates=H","DateFormat=P","Fill=—","Direction=H","UseDPDF=Y")</f>
        <v>6.9619</v>
      </c>
      <c r="H50" s="14">
        <f>_xll.BDH("XOM US Equity","OPER_MARGIN","FQ4 1999","FQ4 1999","Currency=USD","Period=FQ","BEST_FPERIOD_OVERRIDE=FQ","FILING_STATUS=OR","FA_ADJUSTED=Adjusted","Sort=A","Dates=H","DateFormat=P","Fill=—","Direction=H","UseDPDF=Y")</f>
        <v>7.0773000000000001</v>
      </c>
      <c r="I50" s="14">
        <f>_xll.BDH("XOM US Equity","OPER_MARGIN","FQ1 2000","FQ1 2000","Currency=USD","Period=FQ","BEST_FPERIOD_OVERRIDE=FQ","FILING_STATUS=OR","FA_ADJUSTED=Adjusted","Sort=A","Dates=H","DateFormat=P","Fill=—","Direction=H","UseDPDF=Y")</f>
        <v>10.9544</v>
      </c>
      <c r="J50" s="14">
        <f>_xll.BDH("XOM US Equity","OPER_MARGIN","FQ2 2000","FQ2 2000","Currency=USD","Period=FQ","BEST_FPERIOD_OVERRIDE=FQ","FILING_STATUS=OR","FA_ADJUSTED=Adjusted","Sort=A","Dates=H","DateFormat=P","Fill=—","Direction=H","UseDPDF=Y")</f>
        <v>12.377000000000001</v>
      </c>
      <c r="K50" s="14">
        <f>_xll.BDH("XOM US Equity","OPER_MARGIN","FQ3 2000","FQ3 2000","Currency=USD","Period=FQ","BEST_FPERIOD_OVERRIDE=FQ","FILING_STATUS=OR","FA_ADJUSTED=Adjusted","Sort=A","Dates=H","DateFormat=P","Fill=—","Direction=H","UseDPDF=Y")</f>
        <v>11.8422</v>
      </c>
      <c r="L50" s="14">
        <f>_xll.BDH("XOM US Equity","OPER_MARGIN","FQ4 2000","FQ4 2000","Currency=USD","Period=FQ","BEST_FPERIOD_OVERRIDE=FQ","FILING_STATUS=OR","FA_ADJUSTED=Adjusted","Sort=A","Dates=H","DateFormat=P","Fill=—","Direction=H","UseDPDF=Y")</f>
        <v>13.4908</v>
      </c>
      <c r="M50" s="14">
        <f>_xll.BDH("XOM US Equity","OPER_MARGIN","FQ1 2001","FQ1 2001","Currency=USD","Period=FQ","BEST_FPERIOD_OVERRIDE=FQ","FILING_STATUS=OR","FA_ADJUSTED=Adjusted","Sort=A","Dates=H","DateFormat=P","Fill=—","Direction=H","UseDPDF=Y")</f>
        <v>14.5839</v>
      </c>
      <c r="N50" s="14">
        <f>_xll.BDH("XOM US Equity","OPER_MARGIN","FQ2 2001","FQ2 2001","Currency=USD","Period=FQ","BEST_FPERIOD_OVERRIDE=FQ","FILING_STATUS=OR","FA_ADJUSTED=Adjusted","Sort=A","Dates=H","DateFormat=P","Fill=—","Direction=H","UseDPDF=Y")</f>
        <v>12.2486</v>
      </c>
      <c r="O50" s="14">
        <f>_xll.BDH("XOM US Equity","OPER_MARGIN","FQ3 2001","FQ3 2001","Currency=USD","Period=FQ","BEST_FPERIOD_OVERRIDE=FQ","FILING_STATUS=OR","FA_ADJUSTED=Adjusted","Sort=A","Dates=H","DateFormat=P","Fill=—","Direction=H","UseDPDF=Y")</f>
        <v>10.0511</v>
      </c>
      <c r="P50" s="14">
        <f>_xll.BDH("XOM US Equity","OPER_MARGIN","FQ4 2001","FQ4 2001","Currency=USD","Period=FQ","BEST_FPERIOD_OVERRIDE=FQ","FILING_STATUS=OR","FA_ADJUSTED=Adjusted","Sort=A","Dates=H","DateFormat=P","Fill=—","Direction=H","UseDPDF=Y")</f>
        <v>6.5160999999999998</v>
      </c>
      <c r="Q50" s="14">
        <f>_xll.BDH("XOM US Equity","OPER_MARGIN","FQ1 2002","FQ1 2002","Currency=USD","Period=FQ","BEST_FPERIOD_OVERRIDE=FQ","FILING_STATUS=OR","FA_ADJUSTED=Adjusted","Sort=A","Dates=H","DateFormat=P","Fill=—","Direction=H","UseDPDF=Y")</f>
        <v>7.2111999999999998</v>
      </c>
      <c r="R50" s="14">
        <f>_xll.BDH("XOM US Equity","OPER_MARGIN","FQ2 2002","FQ2 2002","Currency=USD","Period=FQ","BEST_FPERIOD_OVERRIDE=FQ","FILING_STATUS=OR","FA_ADJUSTED=Adjusted","Sort=A","Dates=H","DateFormat=P","Fill=—","Direction=H","UseDPDF=Y")</f>
        <v>8.0379000000000005</v>
      </c>
      <c r="S50" s="14">
        <f>_xll.BDH("XOM US Equity","OPER_MARGIN","FQ3 2002","FQ3 2002","Currency=USD","Period=FQ","BEST_FPERIOD_OVERRIDE=FQ","FILING_STATUS=OR","FA_ADJUSTED=Adjusted","Sort=A","Dates=H","DateFormat=P","Fill=—","Direction=H","UseDPDF=Y")</f>
        <v>8.1060999999999996</v>
      </c>
      <c r="T50" s="14">
        <f>_xll.BDH("XOM US Equity","OPER_MARGIN","FQ4 2002","FQ4 2002","Currency=USD","Period=FQ","BEST_FPERIOD_OVERRIDE=FQ","FILING_STATUS=OR","FA_ADJUSTED=Adjusted","Sort=A","Dates=H","DateFormat=P","Fill=—","Direction=H","UseDPDF=Y")</f>
        <v>8.6512999999999991</v>
      </c>
      <c r="U50" s="14">
        <f>_xll.BDH("XOM US Equity","OPER_MARGIN","FQ1 2003","FQ1 2003","Currency=USD","Period=FQ","BEST_FPERIOD_OVERRIDE=FQ","FILING_STATUS=OR","FA_ADJUSTED=Adjusted","Sort=A","Dates=H","DateFormat=P","Fill=—","Direction=H","UseDPDF=Y")</f>
        <v>12.3278</v>
      </c>
      <c r="V50" s="14">
        <f>_xll.BDH("XOM US Equity","OPER_MARGIN","FQ2 2003","FQ2 2003","Currency=USD","Period=FQ","BEST_FPERIOD_OVERRIDE=FQ","FILING_STATUS=OR","FA_ADJUSTED=Adjusted","Sort=A","Dates=H","DateFormat=P","Fill=—","Direction=H","UseDPDF=Y")</f>
        <v>11.776199999999999</v>
      </c>
      <c r="W50" s="14">
        <f>_xll.BDH("XOM US Equity","OPER_MARGIN","FQ3 2003","FQ3 2003","Currency=USD","Period=FQ","BEST_FPERIOD_OVERRIDE=FQ","FILING_STATUS=OR","FA_ADJUSTED=Adjusted","Sort=A","Dates=H","DateFormat=P","Fill=—","Direction=H","UseDPDF=Y")</f>
        <v>9.5024999999999995</v>
      </c>
      <c r="X50" s="14">
        <f>_xll.BDH("XOM US Equity","OPER_MARGIN","FQ4 2003","FQ4 2003","Currency=USD","Period=FQ","BEST_FPERIOD_OVERRIDE=FQ","FILING_STATUS=OR","FA_ADJUSTED=Adjusted","Sort=A","Dates=H","DateFormat=P","Fill=—","Direction=H","UseDPDF=Y")</f>
        <v>9.9423999999999992</v>
      </c>
      <c r="Y50" s="14">
        <f>_xll.BDH("XOM US Equity","OPER_MARGIN","FQ1 2004","FQ1 2004","Currency=USD","Period=FQ","BEST_FPERIOD_OVERRIDE=FQ","FILING_STATUS=OR","FA_ADJUSTED=Adjusted","Sort=A","Dates=H","DateFormat=P","Fill=—","Direction=H","UseDPDF=Y")</f>
        <v>12.779199999999999</v>
      </c>
      <c r="Z50" s="14">
        <f>_xll.BDH("XOM US Equity","OPER_MARGIN","FQ2 2004","FQ2 2004","Currency=USD","Period=FQ","BEST_FPERIOD_OVERRIDE=FQ","FILING_STATUS=OR","FA_ADJUSTED=Adjusted","Sort=A","Dates=H","DateFormat=P","Fill=—","Direction=H","UseDPDF=Y")</f>
        <v>13.0753</v>
      </c>
      <c r="AA50" s="14">
        <f>_xll.BDH("XOM US Equity","OPER_MARGIN","FQ3 2004","FQ3 2004","Currency=USD","Period=FQ","BEST_FPERIOD_OVERRIDE=FQ","FILING_STATUS=OR","FA_ADJUSTED=Adjusted","Sort=A","Dates=H","DateFormat=P","Fill=—","Direction=H","UseDPDF=Y")</f>
        <v>12.7874</v>
      </c>
      <c r="AB50" s="14">
        <f>_xll.BDH("XOM US Equity","OPER_MARGIN","FQ4 2004","FQ4 2004","Currency=USD","Period=FQ","BEST_FPERIOD_OVERRIDE=FQ","FILING_STATUS=OR","FA_ADJUSTED=Adjusted","Sort=A","Dates=H","DateFormat=P","Fill=—","Direction=H","UseDPDF=Y")</f>
        <v>15.4138</v>
      </c>
      <c r="AC50" s="14">
        <f>_xll.BDH("XOM US Equity","OPER_MARGIN","FQ1 2005","FQ1 2005","Currency=USD","Period=FQ","BEST_FPERIOD_OVERRIDE=FQ","FILING_STATUS=OR","FA_ADJUSTED=Adjusted","Sort=A","Dates=H","DateFormat=P","Fill=—","Direction=H","UseDPDF=Y")</f>
        <v>14.505000000000001</v>
      </c>
      <c r="AD50" s="14">
        <f>_xll.BDH("XOM US Equity","OPER_MARGIN","FQ2 2005","FQ2 2005","Currency=USD","Period=FQ","BEST_FPERIOD_OVERRIDE=FQ","FILING_STATUS=OR","FA_ADJUSTED=Adjusted","Sort=A","Dates=H","DateFormat=P","Fill=—","Direction=H","UseDPDF=Y")</f>
        <v>14.2288</v>
      </c>
      <c r="AE50" s="14">
        <f>_xll.BDH("XOM US Equity","OPER_MARGIN","FQ3 2005","FQ3 2005","Currency=USD","Period=FQ","BEST_FPERIOD_OVERRIDE=FQ","FILING_STATUS=OR","FA_ADJUSTED=Adjusted","Sort=A","Dates=H","DateFormat=P","Fill=—","Direction=H","UseDPDF=Y")</f>
        <v>13.9018</v>
      </c>
      <c r="AF50" s="14">
        <f>_xll.BDH("XOM US Equity","OPER_MARGIN","FQ4 2005","FQ4 2005","Currency=USD","Period=FQ","BEST_FPERIOD_OVERRIDE=FQ","FILING_STATUS=OR","FA_ADJUSTED=Adjusted","Sort=A","Dates=H","DateFormat=P","Fill=—","Direction=H","UseDPDF=Y")</f>
        <v>16.937000000000001</v>
      </c>
      <c r="AG50" s="14">
        <f>_xll.BDH("XOM US Equity","OPER_MARGIN","FQ1 2006","FQ1 2006","Currency=USD","Period=FQ","BEST_FPERIOD_OVERRIDE=FQ","FILING_STATUS=OR","FA_ADJUSTED=Adjusted","Sort=A","Dates=H","DateFormat=P","Fill=—","Direction=H","UseDPDF=Y")</f>
        <v>16.710100000000001</v>
      </c>
      <c r="AH50" s="14">
        <f>_xll.BDH("XOM US Equity","OPER_MARGIN","FQ2 2006","FQ2 2006","Currency=USD","Period=FQ","BEST_FPERIOD_OVERRIDE=FQ","FILING_STATUS=OR","FA_ADJUSTED=Adjusted","Sort=A","Dates=H","DateFormat=P","Fill=—","Direction=H","UseDPDF=Y")</f>
        <v>17.712599999999998</v>
      </c>
      <c r="AI50" s="14">
        <f>_xll.BDH("XOM US Equity","OPER_MARGIN","FQ3 2006","FQ3 2006","Currency=USD","Period=FQ","BEST_FPERIOD_OVERRIDE=FQ","FILING_STATUS=OR","FA_ADJUSTED=Adjusted","Sort=A","Dates=H","DateFormat=P","Fill=—","Direction=H","UseDPDF=Y")</f>
        <v>17.4297</v>
      </c>
      <c r="AJ50" s="14">
        <f>_xll.BDH("XOM US Equity","OPER_MARGIN","FQ4 2006","FQ4 2006","Currency=USD","Period=FQ","BEST_FPERIOD_OVERRIDE=FQ","FILING_STATUS=OR","FA_ADJUSTED=Adjusted","Sort=A","Dates=H","DateFormat=P","Fill=—","Direction=H","UseDPDF=Y")</f>
        <v>15.9968</v>
      </c>
      <c r="AK50" s="14">
        <f>_xll.BDH("XOM US Equity","OPER_MARGIN","FQ1 2007","FQ1 2007","Currency=USD","Period=FQ","BEST_FPERIOD_OVERRIDE=FQ","FILING_STATUS=OR","FA_ADJUSTED=Adjusted","Sort=A","Dates=H","DateFormat=P","Fill=—","Direction=H","UseDPDF=Y")</f>
        <v>17.385899999999999</v>
      </c>
      <c r="AL50" s="14">
        <f>_xll.BDH("XOM US Equity","OPER_MARGIN","FQ2 2007","FQ2 2007","Currency=USD","Period=FQ","BEST_FPERIOD_OVERRIDE=FQ","FILING_STATUS=OR","FA_ADJUSTED=Adjusted","Sort=A","Dates=H","DateFormat=P","Fill=—","Direction=H","UseDPDF=Y")</f>
        <v>17.101600000000001</v>
      </c>
      <c r="AM50" s="14">
        <f>_xll.BDH("XOM US Equity","OPER_MARGIN","FQ3 2007","FQ3 2007","Currency=USD","Period=FQ","BEST_FPERIOD_OVERRIDE=FQ","FILING_STATUS=OR","FA_ADJUSTED=Adjusted","Sort=A","Dates=H","DateFormat=P","Fill=—","Direction=H","UseDPDF=Y")</f>
        <v>15.258900000000001</v>
      </c>
      <c r="AN50" s="14">
        <f>_xll.BDH("XOM US Equity","OPER_MARGIN","FQ4 2007","FQ4 2007","Currency=USD","Period=FQ","BEST_FPERIOD_OVERRIDE=FQ","FILING_STATUS=OR","FA_ADJUSTED=Adjusted","Sort=A","Dates=H","DateFormat=P","Fill=—","Direction=H","UseDPDF=Y")</f>
        <v>14.9621</v>
      </c>
      <c r="AO50" s="14">
        <f>_xll.BDH("XOM US Equity","OPER_MARGIN","FQ1 2008","FQ1 2008","Currency=USD","Period=FQ","BEST_FPERIOD_OVERRIDE=FQ","FILING_STATUS=OR","FA_ADJUSTED=Adjusted","Sort=A","Dates=H","DateFormat=P","Fill=—","Direction=H","UseDPDF=Y")</f>
        <v>16.981400000000001</v>
      </c>
      <c r="AP50" s="14">
        <f>_xll.BDH("XOM US Equity","OPER_MARGIN","FQ2 2008","FQ2 2008","Currency=USD","Period=FQ","BEST_FPERIOD_OVERRIDE=FQ","FILING_STATUS=OR","FA_ADJUSTED=Adjusted","Sort=A","Dates=H","DateFormat=P","Fill=—","Direction=H","UseDPDF=Y")</f>
        <v>14.6831</v>
      </c>
    </row>
    <row r="51" spans="1:42" x14ac:dyDescent="0.25">
      <c r="A51" s="10" t="s">
        <v>162</v>
      </c>
      <c r="B51" s="10" t="s">
        <v>163</v>
      </c>
      <c r="C51" s="14">
        <f>_xll.BDH("XOM US Equity","PROF_MARGIN","FQ3 1998","FQ3 1998","Currency=USD","Period=FQ","BEST_FPERIOD_OVERRIDE=FQ","FILING_STATUS=OR","FA_ADJUSTED=Adjusted","Sort=A","Dates=H","DateFormat=P","Fill=—","Direction=H","UseDPDF=Y")</f>
        <v>5.6318000000000001</v>
      </c>
      <c r="D51" s="14">
        <f>_xll.BDH("XOM US Equity","PROF_MARGIN","FQ4 1998","FQ4 1998","Currency=USD","Period=FQ","BEST_FPERIOD_OVERRIDE=FQ","FILING_STATUS=OR","FA_ADJUSTED=Adjusted","Sort=A","Dates=H","DateFormat=P","Fill=—","Direction=H","UseDPDF=Y")</f>
        <v>4.9457000000000004</v>
      </c>
      <c r="E51" s="14">
        <f>_xll.BDH("XOM US Equity","PROF_MARGIN","FQ1 1999","FQ1 1999","Currency=USD","Period=FQ","BEST_FPERIOD_OVERRIDE=FQ","FILING_STATUS=OR","FA_ADJUSTED=Adjusted","Sort=A","Dates=H","DateFormat=P","Fill=—","Direction=H","UseDPDF=Y")</f>
        <v>4.4382999999999999</v>
      </c>
      <c r="F51" s="14">
        <f>_xll.BDH("XOM US Equity","PROF_MARGIN","FQ2 1999","FQ2 1999","Currency=USD","Period=FQ","BEST_FPERIOD_OVERRIDE=FQ","FILING_STATUS=OR","FA_ADJUSTED=Adjusted","Sort=A","Dates=H","DateFormat=P","Fill=—","Direction=H","UseDPDF=Y")</f>
        <v>4.7637999999999998</v>
      </c>
      <c r="G51" s="14">
        <f>_xll.BDH("XOM US Equity","PROF_MARGIN","FQ3 1999","FQ3 1999","Currency=USD","Period=FQ","BEST_FPERIOD_OVERRIDE=FQ","FILING_STATUS=OR","FA_ADJUSTED=Adjusted","Sort=A","Dates=H","DateFormat=P","Fill=—","Direction=H","UseDPDF=Y")</f>
        <v>5.1696999999999997</v>
      </c>
      <c r="H51" s="14">
        <f>_xll.BDH("XOM US Equity","PROF_MARGIN","FQ4 1999","FQ4 1999","Currency=USD","Period=FQ","BEST_FPERIOD_OVERRIDE=FQ","FILING_STATUS=OR","FA_ADJUSTED=Adjusted","Sort=A","Dates=H","DateFormat=P","Fill=—","Direction=H","UseDPDF=Y")</f>
        <v>5.0065</v>
      </c>
      <c r="I51" s="14">
        <f>_xll.BDH("XOM US Equity","PROF_MARGIN","FQ1 2000","FQ1 2000","Currency=USD","Period=FQ","BEST_FPERIOD_OVERRIDE=FQ","FILING_STATUS=OR","FA_ADJUSTED=Adjusted","Sort=A","Dates=H","DateFormat=P","Fill=—","Direction=H","UseDPDF=Y")</f>
        <v>7.2834000000000003</v>
      </c>
      <c r="J51" s="14">
        <f>_xll.BDH("XOM US Equity","PROF_MARGIN","FQ2 2000","FQ2 2000","Currency=USD","Period=FQ","BEST_FPERIOD_OVERRIDE=FQ","FILING_STATUS=OR","FA_ADJUSTED=Adjusted","Sort=A","Dates=H","DateFormat=P","Fill=—","Direction=H","UseDPDF=Y")</f>
        <v>9.1554000000000002</v>
      </c>
      <c r="K51" s="14">
        <f>_xll.BDH("XOM US Equity","PROF_MARGIN","FQ3 2000","FQ3 2000","Currency=USD","Period=FQ","BEST_FPERIOD_OVERRIDE=FQ","FILING_STATUS=OR","FA_ADJUSTED=Adjusted","Sort=A","Dates=H","DateFormat=P","Fill=—","Direction=H","UseDPDF=Y")</f>
        <v>8.6052</v>
      </c>
      <c r="L51" s="14">
        <f>_xll.BDH("XOM US Equity","PROF_MARGIN","FQ4 2000","FQ4 2000","Currency=USD","Period=FQ","BEST_FPERIOD_OVERRIDE=FQ","FILING_STATUS=OR","FA_ADJUSTED=Adjusted","Sort=A","Dates=H","DateFormat=P","Fill=—","Direction=H","UseDPDF=Y")</f>
        <v>9.2150999999999996</v>
      </c>
      <c r="M51" s="14">
        <f>_xll.BDH("XOM US Equity","PROF_MARGIN","FQ1 2001","FQ1 2001","Currency=USD","Period=FQ","BEST_FPERIOD_OVERRIDE=FQ","FILING_STATUS=OR","FA_ADJUSTED=Adjusted","Sort=A","Dates=H","DateFormat=P","Fill=—","Direction=H","UseDPDF=Y")</f>
        <v>9.8460000000000001</v>
      </c>
      <c r="N51" s="14">
        <f>_xll.BDH("XOM US Equity","PROF_MARGIN","FQ2 2001","FQ2 2001","Currency=USD","Period=FQ","BEST_FPERIOD_OVERRIDE=FQ","FILING_STATUS=OR","FA_ADJUSTED=Adjusted","Sort=A","Dates=H","DateFormat=P","Fill=—","Direction=H","UseDPDF=Y")</f>
        <v>8.9423999999999992</v>
      </c>
      <c r="O51" s="14">
        <f>_xll.BDH("XOM US Equity","PROF_MARGIN","FQ3 2001","FQ3 2001","Currency=USD","Period=FQ","BEST_FPERIOD_OVERRIDE=FQ","FILING_STATUS=OR","FA_ADJUSTED=Adjusted","Sort=A","Dates=H","DateFormat=P","Fill=—","Direction=H","UseDPDF=Y")</f>
        <v>6.9408000000000003</v>
      </c>
      <c r="P51" s="14">
        <f>_xll.BDH("XOM US Equity","PROF_MARGIN","FQ4 2001","FQ4 2001","Currency=USD","Period=FQ","BEST_FPERIOD_OVERRIDE=FQ","FILING_STATUS=OR","FA_ADJUSTED=Adjusted","Sort=A","Dates=H","DateFormat=P","Fill=—","Direction=H","UseDPDF=Y")</f>
        <v>6.5306999999999995</v>
      </c>
      <c r="Q51" s="14">
        <f>_xll.BDH("XOM US Equity","PROF_MARGIN","FQ1 2002","FQ1 2002","Currency=USD","Period=FQ","BEST_FPERIOD_OVERRIDE=FQ","FILING_STATUS=OR","FA_ADJUSTED=Adjusted","Sort=A","Dates=H","DateFormat=P","Fill=—","Direction=H","UseDPDF=Y")</f>
        <v>5.5106000000000002</v>
      </c>
      <c r="R51" s="14">
        <f>_xll.BDH("XOM US Equity","PROF_MARGIN","FQ2 2002","FQ2 2002","Currency=USD","Period=FQ","BEST_FPERIOD_OVERRIDE=FQ","FILING_STATUS=OR","FA_ADJUSTED=Adjusted","Sort=A","Dates=H","DateFormat=P","Fill=—","Direction=H","UseDPDF=Y")</f>
        <v>5.9423000000000004</v>
      </c>
      <c r="S51" s="14">
        <f>_xll.BDH("XOM US Equity","PROF_MARGIN","FQ3 2002","FQ3 2002","Currency=USD","Period=FQ","BEST_FPERIOD_OVERRIDE=FQ","FILING_STATUS=OR","FA_ADJUSTED=Adjusted","Sort=A","Dates=H","DateFormat=P","Fill=—","Direction=H","UseDPDF=Y")</f>
        <v>5.5585000000000004</v>
      </c>
      <c r="T51" s="14">
        <f>_xll.BDH("XOM US Equity","PROF_MARGIN","FQ4 2002","FQ4 2002","Currency=USD","Period=FQ","BEST_FPERIOD_OVERRIDE=FQ","FILING_STATUS=OR","FA_ADJUSTED=Adjusted","Sort=A","Dates=H","DateFormat=P","Fill=—","Direction=H","UseDPDF=Y")</f>
        <v>7.2762000000000002</v>
      </c>
      <c r="U51" s="14">
        <f>_xll.BDH("XOM US Equity","PROF_MARGIN","FQ1 2003","FQ1 2003","Currency=USD","Period=FQ","BEST_FPERIOD_OVERRIDE=FQ","FILING_STATUS=OR","FA_ADJUSTED=Adjusted","Sort=A","Dates=H","DateFormat=P","Fill=—","Direction=H","UseDPDF=Y")</f>
        <v>12.9514</v>
      </c>
      <c r="V51" s="14">
        <f>_xll.BDH("XOM US Equity","PROF_MARGIN","FQ2 2003","FQ2 2003","Currency=USD","Period=FQ","BEST_FPERIOD_OVERRIDE=FQ","FILING_STATUS=OR","FA_ADJUSTED=Adjusted","Sort=A","Dates=H","DateFormat=P","Fill=—","Direction=H","UseDPDF=Y")</f>
        <v>8.2949999999999999</v>
      </c>
      <c r="W51" s="14">
        <f>_xll.BDH("XOM US Equity","PROF_MARGIN","FQ3 2003","FQ3 2003","Currency=USD","Period=FQ","BEST_FPERIOD_OVERRIDE=FQ","FILING_STATUS=OR","FA_ADJUSTED=Adjusted","Sort=A","Dates=H","DateFormat=P","Fill=—","Direction=H","UseDPDF=Y")</f>
        <v>6.9050000000000002</v>
      </c>
      <c r="X51" s="14">
        <f>_xll.BDH("XOM US Equity","PROF_MARGIN","FQ4 2003","FQ4 2003","Currency=USD","Period=FQ","BEST_FPERIOD_OVERRIDE=FQ","FILING_STATUS=OR","FA_ADJUSTED=Adjusted","Sort=A","Dates=H","DateFormat=P","Fill=—","Direction=H","UseDPDF=Y")</f>
        <v>11.9366</v>
      </c>
      <c r="Y51" s="14">
        <f>_xll.BDH("XOM US Equity","PROF_MARGIN","FQ1 2004","FQ1 2004","Currency=USD","Period=FQ","BEST_FPERIOD_OVERRIDE=FQ","FILING_STATUS=OR","FA_ADJUSTED=Adjusted","Sort=A","Dates=H","DateFormat=P","Fill=—","Direction=H","UseDPDF=Y")</f>
        <v>9.1207999999999991</v>
      </c>
      <c r="Z51" s="14">
        <f>_xll.BDH("XOM US Equity","PROF_MARGIN","FQ2 2004","FQ2 2004","Currency=USD","Period=FQ","BEST_FPERIOD_OVERRIDE=FQ","FILING_STATUS=OR","FA_ADJUSTED=Adjusted","Sort=A","Dates=H","DateFormat=P","Fill=—","Direction=H","UseDPDF=Y")</f>
        <v>9.2335999999999991</v>
      </c>
      <c r="AA51" s="14">
        <f>_xll.BDH("XOM US Equity","PROF_MARGIN","FQ3 2004","FQ3 2004","Currency=USD","Period=FQ","BEST_FPERIOD_OVERRIDE=FQ","FILING_STATUS=OR","FA_ADJUSTED=Adjusted","Sort=A","Dates=H","DateFormat=P","Fill=—","Direction=H","UseDPDF=Y")</f>
        <v>8.3765000000000001</v>
      </c>
      <c r="AB51" s="14">
        <f>_xll.BDH("XOM US Equity","PROF_MARGIN","FQ4 2004","FQ4 2004","Currency=USD","Period=FQ","BEST_FPERIOD_OVERRIDE=FQ","FILING_STATUS=OR","FA_ADJUSTED=Adjusted","Sort=A","Dates=H","DateFormat=P","Fill=—","Direction=H","UseDPDF=Y")</f>
        <v>11.4046</v>
      </c>
      <c r="AC51" s="14">
        <f>_xll.BDH("XOM US Equity","PROF_MARGIN","FQ1 2005","FQ1 2005","Currency=USD","Period=FQ","BEST_FPERIOD_OVERRIDE=FQ","FILING_STATUS=OR","FA_ADJUSTED=Adjusted","Sort=A","Dates=H","DateFormat=P","Fill=—","Direction=H","UseDPDF=Y")</f>
        <v>10.8809</v>
      </c>
      <c r="AD51" s="14">
        <f>_xll.BDH("XOM US Equity","PROF_MARGIN","FQ2 2005","FQ2 2005","Currency=USD","Period=FQ","BEST_FPERIOD_OVERRIDE=FQ","FILING_STATUS=OR","FA_ADJUSTED=Adjusted","Sort=A","Dates=H","DateFormat=P","Fill=—","Direction=H","UseDPDF=Y")</f>
        <v>9.6577999999999999</v>
      </c>
      <c r="AE51" s="14">
        <f>_xll.BDH("XOM US Equity","PROF_MARGIN","FQ3 2005","FQ3 2005","Currency=USD","Period=FQ","BEST_FPERIOD_OVERRIDE=FQ","FILING_STATUS=OR","FA_ADJUSTED=Adjusted","Sort=A","Dates=H","DateFormat=P","Fill=—","Direction=H","UseDPDF=Y")</f>
        <v>11.200100000000001</v>
      </c>
      <c r="AF51" s="14">
        <f>_xll.BDH("XOM US Equity","PROF_MARGIN","FQ4 2005","FQ4 2005","Currency=USD","Period=FQ","BEST_FPERIOD_OVERRIDE=FQ","FILING_STATUS=OR","FA_ADJUSTED=Adjusted","Sort=A","Dates=H","DateFormat=P","Fill=—","Direction=H","UseDPDF=Y")</f>
        <v>12.1294</v>
      </c>
      <c r="AG51" s="14">
        <f>_xll.BDH("XOM US Equity","PROF_MARGIN","FQ1 2006","FQ1 2006","Currency=USD","Period=FQ","BEST_FPERIOD_OVERRIDE=FQ","FILING_STATUS=OR","FA_ADJUSTED=Adjusted","Sort=A","Dates=H","DateFormat=P","Fill=—","Direction=H","UseDPDF=Y")</f>
        <v>10.6798</v>
      </c>
      <c r="AH51" s="14">
        <f>_xll.BDH("XOM US Equity","PROF_MARGIN","FQ2 2006","FQ2 2006","Currency=USD","Period=FQ","BEST_FPERIOD_OVERRIDE=FQ","FILING_STATUS=OR","FA_ADJUSTED=Adjusted","Sort=A","Dates=H","DateFormat=P","Fill=—","Direction=H","UseDPDF=Y")</f>
        <v>11.797800000000001</v>
      </c>
      <c r="AI51" s="14">
        <f>_xll.BDH("XOM US Equity","PROF_MARGIN","FQ3 2006","FQ3 2006","Currency=USD","Period=FQ","BEST_FPERIOD_OVERRIDE=FQ","FILING_STATUS=OR","FA_ADJUSTED=Adjusted","Sort=A","Dates=H","DateFormat=P","Fill=—","Direction=H","UseDPDF=Y")</f>
        <v>11.852600000000001</v>
      </c>
      <c r="AJ51" s="14">
        <f>_xll.BDH("XOM US Equity","PROF_MARGIN","FQ4 2006","FQ4 2006","Currency=USD","Period=FQ","BEST_FPERIOD_OVERRIDE=FQ","FILING_STATUS=OR","FA_ADJUSTED=Adjusted","Sort=A","Dates=H","DateFormat=P","Fill=—","Direction=H","UseDPDF=Y")</f>
        <v>12.793900000000001</v>
      </c>
      <c r="AK51" s="14">
        <f>_xll.BDH("XOM US Equity","PROF_MARGIN","FQ1 2007","FQ1 2007","Currency=USD","Period=FQ","BEST_FPERIOD_OVERRIDE=FQ","FILING_STATUS=OR","FA_ADJUSTED=Adjusted","Sort=A","Dates=H","DateFormat=P","Fill=—","Direction=H","UseDPDF=Y")</f>
        <v>12.0692</v>
      </c>
      <c r="AL51" s="14">
        <f>_xll.BDH("XOM US Equity","PROF_MARGIN","FQ2 2007","FQ2 2007","Currency=USD","Period=FQ","BEST_FPERIOD_OVERRIDE=FQ","FILING_STATUS=OR","FA_ADJUSTED=Adjusted","Sort=A","Dates=H","DateFormat=P","Fill=—","Direction=H","UseDPDF=Y")</f>
        <v>11.759399999999999</v>
      </c>
      <c r="AM51" s="14">
        <f>_xll.BDH("XOM US Equity","PROF_MARGIN","FQ3 2007","FQ3 2007","Currency=USD","Period=FQ","BEST_FPERIOD_OVERRIDE=FQ","FILING_STATUS=OR","FA_ADJUSTED=Adjusted","Sort=A","Dates=H","DateFormat=P","Fill=—","Direction=H","UseDPDF=Y")</f>
        <v>10.3225</v>
      </c>
      <c r="AN51" s="14">
        <f>_xll.BDH("XOM US Equity","PROF_MARGIN","FQ4 2007","FQ4 2007","Currency=USD","Period=FQ","BEST_FPERIOD_OVERRIDE=FQ","FILING_STATUS=OR","FA_ADJUSTED=Adjusted","Sort=A","Dates=H","DateFormat=P","Fill=—","Direction=H","UseDPDF=Y")</f>
        <v>11.2874</v>
      </c>
      <c r="AO51" s="14">
        <f>_xll.BDH("XOM US Equity","PROF_MARGIN","FQ1 2008","FQ1 2008","Currency=USD","Period=FQ","BEST_FPERIOD_OVERRIDE=FQ","FILING_STATUS=OR","FA_ADJUSTED=Adjusted","Sort=A","Dates=H","DateFormat=P","Fill=—","Direction=H","UseDPDF=Y")</f>
        <v>10.392099999999999</v>
      </c>
      <c r="AP51" s="14">
        <f>_xll.BDH("XOM US Equity","PROF_MARGIN","FQ2 2008","FQ2 2008","Currency=USD","Period=FQ","BEST_FPERIOD_OVERRIDE=FQ","FILING_STATUS=OR","FA_ADJUSTED=Adjusted","Sort=A","Dates=H","DateFormat=P","Fill=—","Direction=H","UseDPDF=Y")</f>
        <v>9.4012999999999991</v>
      </c>
    </row>
    <row r="52" spans="1:42" x14ac:dyDescent="0.25">
      <c r="A52" s="10" t="s">
        <v>164</v>
      </c>
      <c r="B52" s="10" t="s">
        <v>165</v>
      </c>
      <c r="C52" s="14" t="str">
        <f>_xll.BDH("XOM US Equity","ACTUAL_SALES_PER_EMPL","FQ3 1998","FQ3 1998","Currency=USD","Period=FQ","BEST_FPERIOD_OVERRIDE=FQ","FILING_STATUS=OR","FA_ADJUSTED=Adjusted","Sort=A","Dates=H","DateFormat=P","Fill=—","Direction=H","UseDPDF=Y")</f>
        <v>—</v>
      </c>
      <c r="D52" s="14" t="str">
        <f>_xll.BDH("XOM US Equity","ACTUAL_SALES_PER_EMPL","FQ4 1998","FQ4 1998","Currency=USD","Period=FQ","BEST_FPERIOD_OVERRIDE=FQ","FILING_STATUS=OR","FA_ADJUSTED=Adjusted","Sort=A","Dates=H","DateFormat=P","Fill=—","Direction=H","UseDPDF=Y")</f>
        <v>—</v>
      </c>
      <c r="E52" s="14" t="str">
        <f>_xll.BDH("XOM US Equity","ACTUAL_SALES_PER_EMPL","FQ1 1999","FQ1 1999","Currency=USD","Period=FQ","BEST_FPERIOD_OVERRIDE=FQ","FILING_STATUS=OR","FA_ADJUSTED=Adjusted","Sort=A","Dates=H","DateFormat=P","Fill=—","Direction=H","UseDPDF=Y")</f>
        <v>—</v>
      </c>
      <c r="F52" s="14" t="str">
        <f>_xll.BDH("XOM US Equity","ACTUAL_SALES_PER_EMPL","FQ2 1999","FQ2 1999","Currency=USD","Period=FQ","BEST_FPERIOD_OVERRIDE=FQ","FILING_STATUS=OR","FA_ADJUSTED=Adjusted","Sort=A","Dates=H","DateFormat=P","Fill=—","Direction=H","UseDPDF=Y")</f>
        <v>—</v>
      </c>
      <c r="G52" s="14" t="str">
        <f>_xll.BDH("XOM US Equity","ACTUAL_SALES_PER_EMPL","FQ3 1999","FQ3 1999","Currency=USD","Period=FQ","BEST_FPERIOD_OVERRIDE=FQ","FILING_STATUS=OR","FA_ADJUSTED=Adjusted","Sort=A","Dates=H","DateFormat=P","Fill=—","Direction=H","UseDPDF=Y")</f>
        <v>—</v>
      </c>
      <c r="H52" s="14" t="str">
        <f>_xll.BDH("XOM US Equity","ACTUAL_SALES_PER_EMPL","FQ4 1999","FQ4 1999","Currency=USD","Period=FQ","BEST_FPERIOD_OVERRIDE=FQ","FILING_STATUS=OR","FA_ADJUSTED=Adjusted","Sort=A","Dates=H","DateFormat=P","Fill=—","Direction=H","UseDPDF=Y")</f>
        <v>—</v>
      </c>
      <c r="I52" s="14" t="str">
        <f>_xll.BDH("XOM US Equity","ACTUAL_SALES_PER_EMPL","FQ1 2000","FQ1 2000","Currency=USD","Period=FQ","BEST_FPERIOD_OVERRIDE=FQ","FILING_STATUS=OR","FA_ADJUSTED=Adjusted","Sort=A","Dates=H","DateFormat=P","Fill=—","Direction=H","UseDPDF=Y")</f>
        <v>—</v>
      </c>
      <c r="J52" s="14" t="str">
        <f>_xll.BDH("XOM US Equity","ACTUAL_SALES_PER_EMPL","FQ2 2000","FQ2 2000","Currency=USD","Period=FQ","BEST_FPERIOD_OVERRIDE=FQ","FILING_STATUS=OR","FA_ADJUSTED=Adjusted","Sort=A","Dates=H","DateFormat=P","Fill=—","Direction=H","UseDPDF=Y")</f>
        <v>—</v>
      </c>
      <c r="K52" s="14" t="str">
        <f>_xll.BDH("XOM US Equity","ACTUAL_SALES_PER_EMPL","FQ3 2000","FQ3 2000","Currency=USD","Period=FQ","BEST_FPERIOD_OVERRIDE=FQ","FILING_STATUS=OR","FA_ADJUSTED=Adjusted","Sort=A","Dates=H","DateFormat=P","Fill=—","Direction=H","UseDPDF=Y")</f>
        <v>—</v>
      </c>
      <c r="L52" s="14" t="str">
        <f>_xll.BDH("XOM US Equity","ACTUAL_SALES_PER_EMPL","FQ4 2000","FQ4 2000","Currency=USD","Period=FQ","BEST_FPERIOD_OVERRIDE=FQ","FILING_STATUS=OR","FA_ADJUSTED=Adjusted","Sort=A","Dates=H","DateFormat=P","Fill=—","Direction=H","UseDPDF=Y")</f>
        <v>—</v>
      </c>
      <c r="M52" s="14" t="str">
        <f>_xll.BDH("XOM US Equity","ACTUAL_SALES_PER_EMPL","FQ1 2001","FQ1 2001","Currency=USD","Period=FQ","BEST_FPERIOD_OVERRIDE=FQ","FILING_STATUS=OR","FA_ADJUSTED=Adjusted","Sort=A","Dates=H","DateFormat=P","Fill=—","Direction=H","UseDPDF=Y")</f>
        <v>—</v>
      </c>
      <c r="N52" s="14" t="str">
        <f>_xll.BDH("XOM US Equity","ACTUAL_SALES_PER_EMPL","FQ2 2001","FQ2 2001","Currency=USD","Period=FQ","BEST_FPERIOD_OVERRIDE=FQ","FILING_STATUS=OR","FA_ADJUSTED=Adjusted","Sort=A","Dates=H","DateFormat=P","Fill=—","Direction=H","UseDPDF=Y")</f>
        <v>—</v>
      </c>
      <c r="O52" s="14" t="str">
        <f>_xll.BDH("XOM US Equity","ACTUAL_SALES_PER_EMPL","FQ3 2001","FQ3 2001","Currency=USD","Period=FQ","BEST_FPERIOD_OVERRIDE=FQ","FILING_STATUS=OR","FA_ADJUSTED=Adjusted","Sort=A","Dates=H","DateFormat=P","Fill=—","Direction=H","UseDPDF=Y")</f>
        <v>—</v>
      </c>
      <c r="P52" s="14" t="str">
        <f>_xll.BDH("XOM US Equity","ACTUAL_SALES_PER_EMPL","FQ4 2001","FQ4 2001","Currency=USD","Period=FQ","BEST_FPERIOD_OVERRIDE=FQ","FILING_STATUS=OR","FA_ADJUSTED=Adjusted","Sort=A","Dates=H","DateFormat=P","Fill=—","Direction=H","UseDPDF=Y")</f>
        <v>—</v>
      </c>
      <c r="Q52" s="14" t="str">
        <f>_xll.BDH("XOM US Equity","ACTUAL_SALES_PER_EMPL","FQ1 2002","FQ1 2002","Currency=USD","Period=FQ","BEST_FPERIOD_OVERRIDE=FQ","FILING_STATUS=OR","FA_ADJUSTED=Adjusted","Sort=A","Dates=H","DateFormat=P","Fill=—","Direction=H","UseDPDF=Y")</f>
        <v>—</v>
      </c>
      <c r="R52" s="14" t="str">
        <f>_xll.BDH("XOM US Equity","ACTUAL_SALES_PER_EMPL","FQ2 2002","FQ2 2002","Currency=USD","Period=FQ","BEST_FPERIOD_OVERRIDE=FQ","FILING_STATUS=OR","FA_ADJUSTED=Adjusted","Sort=A","Dates=H","DateFormat=P","Fill=—","Direction=H","UseDPDF=Y")</f>
        <v>—</v>
      </c>
      <c r="S52" s="14" t="str">
        <f>_xll.BDH("XOM US Equity","ACTUAL_SALES_PER_EMPL","FQ3 2002","FQ3 2002","Currency=USD","Period=FQ","BEST_FPERIOD_OVERRIDE=FQ","FILING_STATUS=OR","FA_ADJUSTED=Adjusted","Sort=A","Dates=H","DateFormat=P","Fill=—","Direction=H","UseDPDF=Y")</f>
        <v>—</v>
      </c>
      <c r="T52" s="14" t="str">
        <f>_xll.BDH("XOM US Equity","ACTUAL_SALES_PER_EMPL","FQ4 2002","FQ4 2002","Currency=USD","Period=FQ","BEST_FPERIOD_OVERRIDE=FQ","FILING_STATUS=OR","FA_ADJUSTED=Adjusted","Sort=A","Dates=H","DateFormat=P","Fill=—","Direction=H","UseDPDF=Y")</f>
        <v>—</v>
      </c>
      <c r="U52" s="14" t="str">
        <f>_xll.BDH("XOM US Equity","ACTUAL_SALES_PER_EMPL","FQ1 2003","FQ1 2003","Currency=USD","Period=FQ","BEST_FPERIOD_OVERRIDE=FQ","FILING_STATUS=OR","FA_ADJUSTED=Adjusted","Sort=A","Dates=H","DateFormat=P","Fill=—","Direction=H","UseDPDF=Y")</f>
        <v>—</v>
      </c>
      <c r="V52" s="14" t="str">
        <f>_xll.BDH("XOM US Equity","ACTUAL_SALES_PER_EMPL","FQ2 2003","FQ2 2003","Currency=USD","Period=FQ","BEST_FPERIOD_OVERRIDE=FQ","FILING_STATUS=OR","FA_ADJUSTED=Adjusted","Sort=A","Dates=H","DateFormat=P","Fill=—","Direction=H","UseDPDF=Y")</f>
        <v>—</v>
      </c>
      <c r="W52" s="14" t="str">
        <f>_xll.BDH("XOM US Equity","ACTUAL_SALES_PER_EMPL","FQ3 2003","FQ3 2003","Currency=USD","Period=FQ","BEST_FPERIOD_OVERRIDE=FQ","FILING_STATUS=OR","FA_ADJUSTED=Adjusted","Sort=A","Dates=H","DateFormat=P","Fill=—","Direction=H","UseDPDF=Y")</f>
        <v>—</v>
      </c>
      <c r="X52" s="14" t="str">
        <f>_xll.BDH("XOM US Equity","ACTUAL_SALES_PER_EMPL","FQ4 2003","FQ4 2003","Currency=USD","Period=FQ","BEST_FPERIOD_OVERRIDE=FQ","FILING_STATUS=OR","FA_ADJUSTED=Adjusted","Sort=A","Dates=H","DateFormat=P","Fill=—","Direction=H","UseDPDF=Y")</f>
        <v>—</v>
      </c>
      <c r="Y52" s="14" t="str">
        <f>_xll.BDH("XOM US Equity","ACTUAL_SALES_PER_EMPL","FQ1 2004","FQ1 2004","Currency=USD","Period=FQ","BEST_FPERIOD_OVERRIDE=FQ","FILING_STATUS=OR","FA_ADJUSTED=Adjusted","Sort=A","Dates=H","DateFormat=P","Fill=—","Direction=H","UseDPDF=Y")</f>
        <v>—</v>
      </c>
      <c r="Z52" s="14" t="str">
        <f>_xll.BDH("XOM US Equity","ACTUAL_SALES_PER_EMPL","FQ2 2004","FQ2 2004","Currency=USD","Period=FQ","BEST_FPERIOD_OVERRIDE=FQ","FILING_STATUS=OR","FA_ADJUSTED=Adjusted","Sort=A","Dates=H","DateFormat=P","Fill=—","Direction=H","UseDPDF=Y")</f>
        <v>—</v>
      </c>
      <c r="AA52" s="14" t="str">
        <f>_xll.BDH("XOM US Equity","ACTUAL_SALES_PER_EMPL","FQ3 2004","FQ3 2004","Currency=USD","Period=FQ","BEST_FPERIOD_OVERRIDE=FQ","FILING_STATUS=OR","FA_ADJUSTED=Adjusted","Sort=A","Dates=H","DateFormat=P","Fill=—","Direction=H","UseDPDF=Y")</f>
        <v>—</v>
      </c>
      <c r="AB52" s="14">
        <f>_xll.BDH("XOM US Equity","ACTUAL_SALES_PER_EMPL","FQ4 2004","FQ4 2004","Currency=USD","Period=FQ","BEST_FPERIOD_OVERRIDE=FQ","FILING_STATUS=OR","FA_ADJUSTED=Adjusted","Sort=A","Dates=H","DateFormat=P","Fill=—","Direction=H","UseDPDF=Y")</f>
        <v>859487.77650000004</v>
      </c>
      <c r="AC52" s="14" t="str">
        <f>_xll.BDH("XOM US Equity","ACTUAL_SALES_PER_EMPL","FQ1 2005","FQ1 2005","Currency=USD","Period=FQ","BEST_FPERIOD_OVERRIDE=FQ","FILING_STATUS=OR","FA_ADJUSTED=Adjusted","Sort=A","Dates=H","DateFormat=P","Fill=—","Direction=H","UseDPDF=Y")</f>
        <v>—</v>
      </c>
      <c r="AD52" s="14" t="str">
        <f>_xll.BDH("XOM US Equity","ACTUAL_SALES_PER_EMPL","FQ2 2005","FQ2 2005","Currency=USD","Period=FQ","BEST_FPERIOD_OVERRIDE=FQ","FILING_STATUS=OR","FA_ADJUSTED=Adjusted","Sort=A","Dates=H","DateFormat=P","Fill=—","Direction=H","UseDPDF=Y")</f>
        <v>—</v>
      </c>
      <c r="AE52" s="14" t="str">
        <f>_xll.BDH("XOM US Equity","ACTUAL_SALES_PER_EMPL","FQ3 2005","FQ3 2005","Currency=USD","Period=FQ","BEST_FPERIOD_OVERRIDE=FQ","FILING_STATUS=OR","FA_ADJUSTED=Adjusted","Sort=A","Dates=H","DateFormat=P","Fill=—","Direction=H","UseDPDF=Y")</f>
        <v>—</v>
      </c>
      <c r="AF52" s="14">
        <f>_xll.BDH("XOM US Equity","ACTUAL_SALES_PER_EMPL","FQ4 2005","FQ4 2005","Currency=USD","Period=FQ","BEST_FPERIOD_OVERRIDE=FQ","FILING_STATUS=OR","FA_ADJUSTED=Adjusted","Sort=A","Dates=H","DateFormat=P","Fill=—","Direction=H","UseDPDF=Y")</f>
        <v>1054934.2890999999</v>
      </c>
      <c r="AG52" s="14" t="str">
        <f>_xll.BDH("XOM US Equity","ACTUAL_SALES_PER_EMPL","FQ1 2006","FQ1 2006","Currency=USD","Period=FQ","BEST_FPERIOD_OVERRIDE=FQ","FILING_STATUS=OR","FA_ADJUSTED=Adjusted","Sort=A","Dates=H","DateFormat=P","Fill=—","Direction=H","UseDPDF=Y")</f>
        <v>—</v>
      </c>
      <c r="AH52" s="14" t="str">
        <f>_xll.BDH("XOM US Equity","ACTUAL_SALES_PER_EMPL","FQ2 2006","FQ2 2006","Currency=USD","Period=FQ","BEST_FPERIOD_OVERRIDE=FQ","FILING_STATUS=OR","FA_ADJUSTED=Adjusted","Sort=A","Dates=H","DateFormat=P","Fill=—","Direction=H","UseDPDF=Y")</f>
        <v>—</v>
      </c>
      <c r="AI52" s="14" t="str">
        <f>_xll.BDH("XOM US Equity","ACTUAL_SALES_PER_EMPL","FQ3 2006","FQ3 2006","Currency=USD","Period=FQ","BEST_FPERIOD_OVERRIDE=FQ","FILING_STATUS=OR","FA_ADJUSTED=Adjusted","Sort=A","Dates=H","DateFormat=P","Fill=—","Direction=H","UseDPDF=Y")</f>
        <v>—</v>
      </c>
      <c r="AJ52" s="14">
        <f>_xll.BDH("XOM US Equity","ACTUAL_SALES_PER_EMPL","FQ4 2006","FQ4 2006","Currency=USD","Period=FQ","BEST_FPERIOD_OVERRIDE=FQ","FILING_STATUS=OR","FA_ADJUSTED=Adjusted","Sort=A","Dates=H","DateFormat=P","Fill=—","Direction=H","UseDPDF=Y")</f>
        <v>975834.34840000002</v>
      </c>
      <c r="AK52" s="14" t="str">
        <f>_xll.BDH("XOM US Equity","ACTUAL_SALES_PER_EMPL","FQ1 2007","FQ1 2007","Currency=USD","Period=FQ","BEST_FPERIOD_OVERRIDE=FQ","FILING_STATUS=OR","FA_ADJUSTED=Adjusted","Sort=A","Dates=H","DateFormat=P","Fill=—","Direction=H","UseDPDF=Y")</f>
        <v>—</v>
      </c>
      <c r="AL52" s="14" t="str">
        <f>_xll.BDH("XOM US Equity","ACTUAL_SALES_PER_EMPL","FQ2 2007","FQ2 2007","Currency=USD","Period=FQ","BEST_FPERIOD_OVERRIDE=FQ","FILING_STATUS=OR","FA_ADJUSTED=Adjusted","Sort=A","Dates=H","DateFormat=P","Fill=—","Direction=H","UseDPDF=Y")</f>
        <v>—</v>
      </c>
      <c r="AM52" s="14" t="str">
        <f>_xll.BDH("XOM US Equity","ACTUAL_SALES_PER_EMPL","FQ3 2007","FQ3 2007","Currency=USD","Period=FQ","BEST_FPERIOD_OVERRIDE=FQ","FILING_STATUS=OR","FA_ADJUSTED=Adjusted","Sort=A","Dates=H","DateFormat=P","Fill=—","Direction=H","UseDPDF=Y")</f>
        <v>—</v>
      </c>
      <c r="AN52" s="14">
        <f>_xll.BDH("XOM US Equity","ACTUAL_SALES_PER_EMPL","FQ4 2007","FQ4 2007","Currency=USD","Period=FQ","BEST_FPERIOD_OVERRIDE=FQ","FILING_STATUS=OR","FA_ADJUSTED=Adjusted","Sort=A","Dates=H","DateFormat=P","Fill=—","Direction=H","UseDPDF=Y")</f>
        <v>1278477.7228000001</v>
      </c>
      <c r="AO52" s="14" t="str">
        <f>_xll.BDH("XOM US Equity","ACTUAL_SALES_PER_EMPL","FQ1 2008","FQ1 2008","Currency=USD","Period=FQ","BEST_FPERIOD_OVERRIDE=FQ","FILING_STATUS=OR","FA_ADJUSTED=Adjusted","Sort=A","Dates=H","DateFormat=P","Fill=—","Direction=H","UseDPDF=Y")</f>
        <v>—</v>
      </c>
      <c r="AP52" s="14" t="str">
        <f>_xll.BDH("XOM US Equity","ACTUAL_SALES_PER_EMPL","FQ2 2008","FQ2 2008","Currency=USD","Period=FQ","BEST_FPERIOD_OVERRIDE=FQ","FILING_STATUS=OR","FA_ADJUSTED=Adjusted","Sort=A","Dates=H","DateFormat=P","Fill=—","Direction=H","UseDPDF=Y")</f>
        <v>—</v>
      </c>
    </row>
    <row r="53" spans="1:42" x14ac:dyDescent="0.25">
      <c r="A53" s="10" t="s">
        <v>166</v>
      </c>
      <c r="B53" s="10" t="s">
        <v>167</v>
      </c>
      <c r="C53" s="14">
        <f>_xll.BDH("XOM US Equity","EQY_DPS","FQ3 1998","FQ3 1998","Currency=USD","Period=FQ","BEST_FPERIOD_OVERRIDE=FQ","FILING_STATUS=OR","Sort=A","Dates=H","DateFormat=P","Fill=—","Direction=H","UseDPDF=Y")</f>
        <v>0.20499999999999999</v>
      </c>
      <c r="D53" s="14">
        <f>_xll.BDH("XOM US Equity","EQY_DPS","FQ4 1998","FQ4 1998","Currency=USD","Period=FQ","BEST_FPERIOD_OVERRIDE=FQ","FILING_STATUS=OR","Sort=A","Dates=H","DateFormat=P","Fill=—","Direction=H","UseDPDF=Y")</f>
        <v>0.20499999999999999</v>
      </c>
      <c r="E53" s="14">
        <f>_xll.BDH("XOM US Equity","EQY_DPS","FQ1 1999","FQ1 1999","Currency=USD","Period=FQ","BEST_FPERIOD_OVERRIDE=FQ","FILING_STATUS=OR","Sort=A","Dates=H","DateFormat=P","Fill=—","Direction=H","UseDPDF=Y")</f>
        <v>0.20499999999999999</v>
      </c>
      <c r="F53" s="14">
        <f>_xll.BDH("XOM US Equity","EQY_DPS","FQ2 1999","FQ2 1999","Currency=USD","Period=FQ","BEST_FPERIOD_OVERRIDE=FQ","FILING_STATUS=OR","Sort=A","Dates=H","DateFormat=P","Fill=—","Direction=H","UseDPDF=Y")</f>
        <v>0.20499999999999999</v>
      </c>
      <c r="G53" s="14">
        <f>_xll.BDH("XOM US Equity","EQY_DPS","FQ3 1999","FQ3 1999","Currency=USD","Period=FQ","BEST_FPERIOD_OVERRIDE=FQ","FILING_STATUS=OR","Sort=A","Dates=H","DateFormat=P","Fill=—","Direction=H","UseDPDF=Y")</f>
        <v>0.20499999999999999</v>
      </c>
      <c r="H53" s="14">
        <f>_xll.BDH("XOM US Equity","EQY_DPS","FQ4 1999","FQ4 1999","Currency=USD","Period=FQ","BEST_FPERIOD_OVERRIDE=FQ","FILING_STATUS=OR","Sort=A","Dates=H","DateFormat=P","Fill=—","Direction=H","UseDPDF=Y")</f>
        <v>0.20499999999999999</v>
      </c>
      <c r="I53" s="14">
        <f>_xll.BDH("XOM US Equity","EQY_DPS","FQ1 2000","FQ1 2000","Currency=USD","Period=FQ","BEST_FPERIOD_OVERRIDE=FQ","FILING_STATUS=OR","Sort=A","Dates=H","DateFormat=P","Fill=—","Direction=H","UseDPDF=Y")</f>
        <v>0.22</v>
      </c>
      <c r="J53" s="14">
        <f>_xll.BDH("XOM US Equity","EQY_DPS","FQ2 2000","FQ2 2000","Currency=USD","Period=FQ","BEST_FPERIOD_OVERRIDE=FQ","FILING_STATUS=OR","Sort=A","Dates=H","DateFormat=P","Fill=—","Direction=H","UseDPDF=Y")</f>
        <v>0.22</v>
      </c>
      <c r="K53" s="14">
        <f>_xll.BDH("XOM US Equity","EQY_DPS","FQ3 2000","FQ3 2000","Currency=USD","Period=FQ","BEST_FPERIOD_OVERRIDE=FQ","FILING_STATUS=OR","Sort=A","Dates=H","DateFormat=P","Fill=—","Direction=H","UseDPDF=Y")</f>
        <v>0.22</v>
      </c>
      <c r="L53" s="14">
        <f>_xll.BDH("XOM US Equity","EQY_DPS","FQ4 2000","FQ4 2000","Currency=USD","Period=FQ","BEST_FPERIOD_OVERRIDE=FQ","FILING_STATUS=OR","Sort=A","Dates=H","DateFormat=P","Fill=—","Direction=H","UseDPDF=Y")</f>
        <v>0.22</v>
      </c>
      <c r="M53" s="14">
        <f>_xll.BDH("XOM US Equity","EQY_DPS","FQ1 2001","FQ1 2001","Currency=USD","Period=FQ","BEST_FPERIOD_OVERRIDE=FQ","FILING_STATUS=OR","Sort=A","Dates=H","DateFormat=P","Fill=—","Direction=H","UseDPDF=Y")</f>
        <v>0.22</v>
      </c>
      <c r="N53" s="14">
        <f>_xll.BDH("XOM US Equity","EQY_DPS","FQ2 2001","FQ2 2001","Currency=USD","Period=FQ","BEST_FPERIOD_OVERRIDE=FQ","FILING_STATUS=OR","Sort=A","Dates=H","DateFormat=P","Fill=—","Direction=H","UseDPDF=Y")</f>
        <v>0.23</v>
      </c>
      <c r="O53" s="14">
        <f>_xll.BDH("XOM US Equity","EQY_DPS","FQ3 2001","FQ3 2001","Currency=USD","Period=FQ","BEST_FPERIOD_OVERRIDE=FQ","FILING_STATUS=OR","Sort=A","Dates=H","DateFormat=P","Fill=—","Direction=H","UseDPDF=Y")</f>
        <v>0.23</v>
      </c>
      <c r="P53" s="14">
        <f>_xll.BDH("XOM US Equity","EQY_DPS","FQ4 2001","FQ4 2001","Currency=USD","Period=FQ","BEST_FPERIOD_OVERRIDE=FQ","FILING_STATUS=OR","Sort=A","Dates=H","DateFormat=P","Fill=—","Direction=H","UseDPDF=Y")</f>
        <v>0.22</v>
      </c>
      <c r="Q53" s="14">
        <f>_xll.BDH("XOM US Equity","EQY_DPS","FQ1 2002","FQ1 2002","Currency=USD","Period=FQ","BEST_FPERIOD_OVERRIDE=FQ","FILING_STATUS=OR","Sort=A","Dates=H","DateFormat=P","Fill=—","Direction=H","UseDPDF=Y")</f>
        <v>0.23</v>
      </c>
      <c r="R53" s="14">
        <f>_xll.BDH("XOM US Equity","EQY_DPS","FQ2 2002","FQ2 2002","Currency=USD","Period=FQ","BEST_FPERIOD_OVERRIDE=FQ","FILING_STATUS=OR","Sort=A","Dates=H","DateFormat=P","Fill=—","Direction=H","UseDPDF=Y")</f>
        <v>0.23</v>
      </c>
      <c r="S53" s="14">
        <f>_xll.BDH("XOM US Equity","EQY_DPS","FQ3 2002","FQ3 2002","Currency=USD","Period=FQ","BEST_FPERIOD_OVERRIDE=FQ","FILING_STATUS=OR","Sort=A","Dates=H","DateFormat=P","Fill=—","Direction=H","UseDPDF=Y")</f>
        <v>0.23</v>
      </c>
      <c r="T53" s="14">
        <f>_xll.BDH("XOM US Equity","EQY_DPS","FQ4 2002","FQ4 2002","Currency=USD","Period=FQ","BEST_FPERIOD_OVERRIDE=FQ","FILING_STATUS=OR","Sort=A","Dates=H","DateFormat=P","Fill=—","Direction=H","UseDPDF=Y")</f>
        <v>0.23</v>
      </c>
      <c r="U53" s="14">
        <f>_xll.BDH("XOM US Equity","EQY_DPS","FQ1 2003","FQ1 2003","Currency=USD","Period=FQ","BEST_FPERIOD_OVERRIDE=FQ","FILING_STATUS=OR","Sort=A","Dates=H","DateFormat=P","Fill=—","Direction=H","UseDPDF=Y")</f>
        <v>0.23</v>
      </c>
      <c r="V53" s="14">
        <f>_xll.BDH("XOM US Equity","EQY_DPS","FQ2 2003","FQ2 2003","Currency=USD","Period=FQ","BEST_FPERIOD_OVERRIDE=FQ","FILING_STATUS=OR","Sort=A","Dates=H","DateFormat=P","Fill=—","Direction=H","UseDPDF=Y")</f>
        <v>0.25</v>
      </c>
      <c r="W53" s="14">
        <f>_xll.BDH("XOM US Equity","EQY_DPS","FQ3 2003","FQ3 2003","Currency=USD","Period=FQ","BEST_FPERIOD_OVERRIDE=FQ","FILING_STATUS=OR","Sort=A","Dates=H","DateFormat=P","Fill=—","Direction=H","UseDPDF=Y")</f>
        <v>0.25</v>
      </c>
      <c r="X53" s="14">
        <f>_xll.BDH("XOM US Equity","EQY_DPS","FQ4 2003","FQ4 2003","Currency=USD","Period=FQ","BEST_FPERIOD_OVERRIDE=FQ","FILING_STATUS=OR","Sort=A","Dates=H","DateFormat=P","Fill=—","Direction=H","UseDPDF=Y")</f>
        <v>0.25</v>
      </c>
      <c r="Y53" s="14">
        <f>_xll.BDH("XOM US Equity","EQY_DPS","FQ1 2004","FQ1 2004","Currency=USD","Period=FQ","BEST_FPERIOD_OVERRIDE=FQ","FILING_STATUS=OR","Sort=A","Dates=H","DateFormat=P","Fill=—","Direction=H","UseDPDF=Y")</f>
        <v>0.25</v>
      </c>
      <c r="Z53" s="14">
        <f>_xll.BDH("XOM US Equity","EQY_DPS","FQ2 2004","FQ2 2004","Currency=USD","Period=FQ","BEST_FPERIOD_OVERRIDE=FQ","FILING_STATUS=OR","Sort=A","Dates=H","DateFormat=P","Fill=—","Direction=H","UseDPDF=Y")</f>
        <v>0.27</v>
      </c>
      <c r="AA53" s="14">
        <f>_xll.BDH("XOM US Equity","EQY_DPS","FQ3 2004","FQ3 2004","Currency=USD","Period=FQ","BEST_FPERIOD_OVERRIDE=FQ","FILING_STATUS=OR","Sort=A","Dates=H","DateFormat=P","Fill=—","Direction=H","UseDPDF=Y")</f>
        <v>0.27</v>
      </c>
      <c r="AB53" s="14">
        <f>_xll.BDH("XOM US Equity","EQY_DPS","FQ4 2004","FQ4 2004","Currency=USD","Period=FQ","BEST_FPERIOD_OVERRIDE=FQ","FILING_STATUS=OR","Sort=A","Dates=H","DateFormat=P","Fill=—","Direction=H","UseDPDF=Y")</f>
        <v>0.27</v>
      </c>
      <c r="AC53" s="14">
        <f>_xll.BDH("XOM US Equity","EQY_DPS","FQ1 2005","FQ1 2005","Currency=USD","Period=FQ","BEST_FPERIOD_OVERRIDE=FQ","FILING_STATUS=OR","Sort=A","Dates=H","DateFormat=P","Fill=—","Direction=H","UseDPDF=Y")</f>
        <v>0.27</v>
      </c>
      <c r="AD53" s="14">
        <f>_xll.BDH("XOM US Equity","EQY_DPS","FQ2 2005","FQ2 2005","Currency=USD","Period=FQ","BEST_FPERIOD_OVERRIDE=FQ","FILING_STATUS=OR","Sort=A","Dates=H","DateFormat=P","Fill=—","Direction=H","UseDPDF=Y")</f>
        <v>0.28999999999999998</v>
      </c>
      <c r="AE53" s="14">
        <f>_xll.BDH("XOM US Equity","EQY_DPS","FQ3 2005","FQ3 2005","Currency=USD","Period=FQ","BEST_FPERIOD_OVERRIDE=FQ","FILING_STATUS=OR","Sort=A","Dates=H","DateFormat=P","Fill=—","Direction=H","UseDPDF=Y")</f>
        <v>0.28999999999999998</v>
      </c>
      <c r="AF53" s="14">
        <f>_xll.BDH("XOM US Equity","EQY_DPS","FQ4 2005","FQ4 2005","Currency=USD","Period=FQ","BEST_FPERIOD_OVERRIDE=FQ","FILING_STATUS=OR","Sort=A","Dates=H","DateFormat=P","Fill=—","Direction=H","UseDPDF=Y")</f>
        <v>0.28999999999999998</v>
      </c>
      <c r="AG53" s="14">
        <f>_xll.BDH("XOM US Equity","EQY_DPS","FQ1 2006","FQ1 2006","Currency=USD","Period=FQ","BEST_FPERIOD_OVERRIDE=FQ","FILING_STATUS=OR","Sort=A","Dates=H","DateFormat=P","Fill=—","Direction=H","UseDPDF=Y")</f>
        <v>0.32</v>
      </c>
      <c r="AH53" s="14">
        <f>_xll.BDH("XOM US Equity","EQY_DPS","FQ2 2006","FQ2 2006","Currency=USD","Period=FQ","BEST_FPERIOD_OVERRIDE=FQ","FILING_STATUS=OR","Sort=A","Dates=H","DateFormat=P","Fill=—","Direction=H","UseDPDF=Y")</f>
        <v>0.32</v>
      </c>
      <c r="AI53" s="14">
        <f>_xll.BDH("XOM US Equity","EQY_DPS","FQ3 2006","FQ3 2006","Currency=USD","Period=FQ","BEST_FPERIOD_OVERRIDE=FQ","FILING_STATUS=OR","Sort=A","Dates=H","DateFormat=P","Fill=—","Direction=H","UseDPDF=Y")</f>
        <v>0.32</v>
      </c>
      <c r="AJ53" s="14">
        <f>_xll.BDH("XOM US Equity","EQY_DPS","FQ4 2006","FQ4 2006","Currency=USD","Period=FQ","BEST_FPERIOD_OVERRIDE=FQ","FILING_STATUS=OR","Sort=A","Dates=H","DateFormat=P","Fill=—","Direction=H","UseDPDF=Y")</f>
        <v>0.32</v>
      </c>
      <c r="AK53" s="14">
        <f>_xll.BDH("XOM US Equity","EQY_DPS","FQ1 2007","FQ1 2007","Currency=USD","Period=FQ","BEST_FPERIOD_OVERRIDE=FQ","FILING_STATUS=OR","Sort=A","Dates=H","DateFormat=P","Fill=—","Direction=H","UseDPDF=Y")</f>
        <v>0.32</v>
      </c>
      <c r="AL53" s="14">
        <f>_xll.BDH("XOM US Equity","EQY_DPS","FQ2 2007","FQ2 2007","Currency=USD","Period=FQ","BEST_FPERIOD_OVERRIDE=FQ","FILING_STATUS=OR","Sort=A","Dates=H","DateFormat=P","Fill=—","Direction=H","UseDPDF=Y")</f>
        <v>0.35</v>
      </c>
      <c r="AM53" s="14">
        <f>_xll.BDH("XOM US Equity","EQY_DPS","FQ3 2007","FQ3 2007","Currency=USD","Period=FQ","BEST_FPERIOD_OVERRIDE=FQ","FILING_STATUS=OR","Sort=A","Dates=H","DateFormat=P","Fill=—","Direction=H","UseDPDF=Y")</f>
        <v>0.35</v>
      </c>
      <c r="AN53" s="14">
        <f>_xll.BDH("XOM US Equity","EQY_DPS","FQ4 2007","FQ4 2007","Currency=USD","Period=FQ","BEST_FPERIOD_OVERRIDE=FQ","FILING_STATUS=OR","Sort=A","Dates=H","DateFormat=P","Fill=—","Direction=H","UseDPDF=Y")</f>
        <v>0.35</v>
      </c>
      <c r="AO53" s="14">
        <f>_xll.BDH("XOM US Equity","EQY_DPS","FQ1 2008","FQ1 2008","Currency=USD","Period=FQ","BEST_FPERIOD_OVERRIDE=FQ","FILING_STATUS=OR","Sort=A","Dates=H","DateFormat=P","Fill=—","Direction=H","UseDPDF=Y")</f>
        <v>0.35</v>
      </c>
      <c r="AP53" s="14">
        <f>_xll.BDH("XOM US Equity","EQY_DPS","FQ2 2008","FQ2 2008","Currency=USD","Period=FQ","BEST_FPERIOD_OVERRIDE=FQ","FILING_STATUS=OR","Sort=A","Dates=H","DateFormat=P","Fill=—","Direction=H","UseDPDF=Y")</f>
        <v>0.4</v>
      </c>
    </row>
    <row r="54" spans="1:42" x14ac:dyDescent="0.25">
      <c r="A54" s="10" t="s">
        <v>168</v>
      </c>
      <c r="B54" s="10" t="s">
        <v>169</v>
      </c>
      <c r="C54" s="13">
        <f>_xll.BDH("XOM US Equity","IS_TOT_CASH_COM_DVD","FQ3 1998","FQ3 1998","Currency=USD","Period=FQ","BEST_FPERIOD_OVERRIDE=FQ","FILING_STATUS=OR","SCALING_FORMAT=MLN","Sort=A","Dates=H","DateFormat=P","Fill=—","Direction=H","UseDPDF=Y")</f>
        <v>997</v>
      </c>
      <c r="D54" s="13">
        <f>_xll.BDH("XOM US Equity","IS_TOT_CASH_COM_DVD","FQ4 1998","FQ4 1998","Currency=USD","Period=FQ","BEST_FPERIOD_OVERRIDE=FQ","FILING_STATUS=OR","SCALING_FORMAT=MLN","Sort=A","Dates=H","DateFormat=P","Fill=—","Direction=H","UseDPDF=Y")</f>
        <v>996</v>
      </c>
      <c r="E54" s="13">
        <f>_xll.BDH("XOM US Equity","IS_TOT_CASH_COM_DVD","FQ1 1999","FQ1 1999","Currency=USD","Period=FQ","BEST_FPERIOD_OVERRIDE=FQ","FILING_STATUS=OR","SCALING_FORMAT=MLN","Sort=A","Dates=H","DateFormat=P","Fill=—","Direction=H","UseDPDF=Y")</f>
        <v>996</v>
      </c>
      <c r="F54" s="13">
        <f>_xll.BDH("XOM US Equity","IS_TOT_CASH_COM_DVD","FQ2 1999","FQ2 1999","Currency=USD","Period=FQ","BEST_FPERIOD_OVERRIDE=FQ","FILING_STATUS=OR","SCALING_FORMAT=MLN","Sort=A","Dates=H","DateFormat=P","Fill=—","Direction=H","UseDPDF=Y")</f>
        <v>995</v>
      </c>
      <c r="G54" s="13">
        <f>_xll.BDH("XOM US Equity","IS_TOT_CASH_COM_DVD","FQ3 1999","FQ3 1999","Currency=USD","Period=FQ","BEST_FPERIOD_OVERRIDE=FQ","FILING_STATUS=OR","SCALING_FORMAT=MLN","Sort=A","Dates=H","DateFormat=P","Fill=—","Direction=H","UseDPDF=Y")</f>
        <v>995</v>
      </c>
      <c r="H54" s="13">
        <f>_xll.BDH("XOM US Equity","IS_TOT_CASH_COM_DVD","FQ4 1999","FQ4 1999","Currency=USD","Period=FQ","BEST_FPERIOD_OVERRIDE=FQ","FILING_STATUS=OR","SCALING_FORMAT=MLN","Sort=A","Dates=H","DateFormat=P","Fill=—","Direction=H","UseDPDF=Y")</f>
        <v>1511</v>
      </c>
      <c r="I54" s="13">
        <f>_xll.BDH("XOM US Equity","IS_TOT_CASH_COM_DVD","FQ1 2000","FQ1 2000","Currency=USD","Period=FQ","BEST_FPERIOD_OVERRIDE=FQ","FILING_STATUS=OR","SCALING_FORMAT=MLN","Sort=A","Dates=H","DateFormat=P","Fill=—","Direction=H","UseDPDF=Y")</f>
        <v>1531</v>
      </c>
      <c r="J54" s="13">
        <f>_xll.BDH("XOM US Equity","IS_TOT_CASH_COM_DVD","FQ2 2000","FQ2 2000","Currency=USD","Period=FQ","BEST_FPERIOD_OVERRIDE=FQ","FILING_STATUS=OR","SCALING_FORMAT=MLN","Sort=A","Dates=H","DateFormat=P","Fill=—","Direction=H","UseDPDF=Y")</f>
        <v>1532</v>
      </c>
      <c r="K54" s="13">
        <f>_xll.BDH("XOM US Equity","IS_TOT_CASH_COM_DVD","FQ3 2000","FQ3 2000","Currency=USD","Period=FQ","BEST_FPERIOD_OVERRIDE=FQ","FILING_STATUS=OR","SCALING_FORMAT=MLN","Sort=A","Dates=H","DateFormat=P","Fill=—","Direction=H","UseDPDF=Y")</f>
        <v>1533</v>
      </c>
      <c r="L54" s="13">
        <f>_xll.BDH("XOM US Equity","IS_TOT_CASH_COM_DVD","FQ4 2000","FQ4 2000","Currency=USD","Period=FQ","BEST_FPERIOD_OVERRIDE=FQ","FILING_STATUS=OR","SCALING_FORMAT=MLN","Sort=A","Dates=H","DateFormat=P","Fill=—","Direction=H","UseDPDF=Y")</f>
        <v>1527</v>
      </c>
      <c r="M54" s="13">
        <f>_xll.BDH("XOM US Equity","IS_TOT_CASH_COM_DVD","FQ1 2001","FQ1 2001","Currency=USD","Period=FQ","BEST_FPERIOD_OVERRIDE=FQ","FILING_STATUS=OR","SCALING_FORMAT=MLN","Sort=A","Dates=H","DateFormat=P","Fill=—","Direction=H","UseDPDF=Y")</f>
        <v>1522</v>
      </c>
      <c r="N54" s="13">
        <f>_xll.BDH("XOM US Equity","IS_TOT_CASH_COM_DVD","FQ2 2001","FQ2 2001","Currency=USD","Period=FQ","BEST_FPERIOD_OVERRIDE=FQ","FILING_STATUS=OR","SCALING_FORMAT=MLN","Sort=A","Dates=H","DateFormat=P","Fill=—","Direction=H","UseDPDF=Y")</f>
        <v>1583.09</v>
      </c>
      <c r="O54" s="13">
        <f>_xll.BDH("XOM US Equity","IS_TOT_CASH_COM_DVD","FQ3 2001","FQ3 2001","Currency=USD","Period=FQ","BEST_FPERIOD_OVERRIDE=FQ","FILING_STATUS=OR","SCALING_FORMAT=MLN","Sort=A","Dates=H","DateFormat=P","Fill=—","Direction=H","UseDPDF=Y")</f>
        <v>1575.96</v>
      </c>
      <c r="P54" s="13">
        <f>_xll.BDH("XOM US Equity","IS_TOT_CASH_COM_DVD","FQ4 2001","FQ4 2001","Currency=USD","Period=FQ","BEST_FPERIOD_OVERRIDE=FQ","FILING_STATUS=OR","SCALING_FORMAT=MLN","Sort=A","Dates=H","DateFormat=P","Fill=—","Direction=H","UseDPDF=Y")</f>
        <v>1568.83</v>
      </c>
      <c r="Q54" s="13">
        <f>_xll.BDH("XOM US Equity","IS_TOT_CASH_COM_DVD","FQ1 2002","FQ1 2002","Currency=USD","Period=FQ","BEST_FPERIOD_OVERRIDE=FQ","FILING_STATUS=OR","SCALING_FORMAT=MLN","Sort=A","Dates=H","DateFormat=P","Fill=—","Direction=H","UseDPDF=Y")</f>
        <v>1563</v>
      </c>
      <c r="R54" s="13">
        <f>_xll.BDH("XOM US Equity","IS_TOT_CASH_COM_DVD","FQ2 2002","FQ2 2002","Currency=USD","Period=FQ","BEST_FPERIOD_OVERRIDE=FQ","FILING_STATUS=OR","SCALING_FORMAT=MLN","Sort=A","Dates=H","DateFormat=P","Fill=—","Direction=H","UseDPDF=Y")</f>
        <v>1557</v>
      </c>
      <c r="S54" s="13">
        <f>_xll.BDH("XOM US Equity","IS_TOT_CASH_COM_DVD","FQ3 2002","FQ3 2002","Currency=USD","Period=FQ","BEST_FPERIOD_OVERRIDE=FQ","FILING_STATUS=OR","SCALING_FORMAT=MLN","Sort=A","Dates=H","DateFormat=P","Fill=—","Direction=H","UseDPDF=Y")</f>
        <v>1552</v>
      </c>
      <c r="T54" s="13">
        <f>_xll.BDH("XOM US Equity","IS_TOT_CASH_COM_DVD","FQ4 2002","FQ4 2002","Currency=USD","Period=FQ","BEST_FPERIOD_OVERRIDE=FQ","FILING_STATUS=OR","SCALING_FORMAT=MLN","Sort=A","Dates=H","DateFormat=P","Fill=—","Direction=H","UseDPDF=Y")</f>
        <v>1545</v>
      </c>
      <c r="U54" s="13">
        <f>_xll.BDH("XOM US Equity","IS_TOT_CASH_COM_DVD","FQ1 2003","FQ1 2003","Currency=USD","Period=FQ","BEST_FPERIOD_OVERRIDE=FQ","FILING_STATUS=OR","SCALING_FORMAT=MLN","Sort=A","Dates=H","DateFormat=P","Fill=—","Direction=H","UseDPDF=Y")</f>
        <v>1541</v>
      </c>
      <c r="V54" s="13">
        <f>_xll.BDH("XOM US Equity","IS_TOT_CASH_COM_DVD","FQ2 2003","FQ2 2003","Currency=USD","Period=FQ","BEST_FPERIOD_OVERRIDE=FQ","FILING_STATUS=OR","SCALING_FORMAT=MLN","Sort=A","Dates=H","DateFormat=P","Fill=—","Direction=H","UseDPDF=Y")</f>
        <v>1667</v>
      </c>
      <c r="W54" s="13">
        <f>_xll.BDH("XOM US Equity","IS_TOT_CASH_COM_DVD","FQ3 2003","FQ3 2003","Currency=USD","Period=FQ","BEST_FPERIOD_OVERRIDE=FQ","FILING_STATUS=OR","SCALING_FORMAT=MLN","Sort=A","Dates=H","DateFormat=P","Fill=—","Direction=H","UseDPDF=Y")</f>
        <v>1658</v>
      </c>
      <c r="X54" s="13">
        <f>_xll.BDH("XOM US Equity","IS_TOT_CASH_COM_DVD","FQ4 2003","FQ4 2003","Currency=USD","Period=FQ","BEST_FPERIOD_OVERRIDE=FQ","FILING_STATUS=OR","SCALING_FORMAT=MLN","Sort=A","Dates=H","DateFormat=P","Fill=—","Direction=H","UseDPDF=Y")</f>
        <v>1649</v>
      </c>
      <c r="Y54" s="13">
        <f>_xll.BDH("XOM US Equity","IS_TOT_CASH_COM_DVD","FQ1 2004","FQ1 2004","Currency=USD","Period=FQ","BEST_FPERIOD_OVERRIDE=FQ","FILING_STATUS=OR","SCALING_FORMAT=MLN","Sort=A","Dates=H","DateFormat=P","Fill=—","Direction=H","UseDPDF=Y")</f>
        <v>1642</v>
      </c>
      <c r="Z54" s="13">
        <f>_xll.BDH("XOM US Equity","IS_TOT_CASH_COM_DVD","FQ2 2004","FQ2 2004","Currency=USD","Period=FQ","BEST_FPERIOD_OVERRIDE=FQ","FILING_STATUS=OR","SCALING_FORMAT=MLN","Sort=A","Dates=H","DateFormat=P","Fill=—","Direction=H","UseDPDF=Y")</f>
        <v>1763</v>
      </c>
      <c r="AA54" s="13">
        <f>_xll.BDH("XOM US Equity","IS_TOT_CASH_COM_DVD","FQ3 2004","FQ3 2004","Currency=USD","Period=FQ","BEST_FPERIOD_OVERRIDE=FQ","FILING_STATUS=OR","SCALING_FORMAT=MLN","Sort=A","Dates=H","DateFormat=P","Fill=—","Direction=H","UseDPDF=Y")</f>
        <v>1753</v>
      </c>
      <c r="AB54" s="13">
        <f>_xll.BDH("XOM US Equity","IS_TOT_CASH_COM_DVD","FQ4 2004","FQ4 2004","Currency=USD","Period=FQ","BEST_FPERIOD_OVERRIDE=FQ","FILING_STATUS=OR","SCALING_FORMAT=MLN","Sort=A","Dates=H","DateFormat=P","Fill=—","Direction=H","UseDPDF=Y")</f>
        <v>1738</v>
      </c>
      <c r="AC54" s="13">
        <f>_xll.BDH("XOM US Equity","IS_TOT_CASH_COM_DVD","FQ1 2005","FQ1 2005","Currency=USD","Period=FQ","BEST_FPERIOD_OVERRIDE=FQ","FILING_STATUS=OR","SCALING_FORMAT=MLN","Sort=A","Dates=H","DateFormat=P","Fill=—","Direction=H","UseDPDF=Y")</f>
        <v>1718.55</v>
      </c>
      <c r="AD54" s="13">
        <f>_xll.BDH("XOM US Equity","IS_TOT_CASH_COM_DVD","FQ2 2005","FQ2 2005","Currency=USD","Period=FQ","BEST_FPERIOD_OVERRIDE=FQ","FILING_STATUS=OR","SCALING_FORMAT=MLN","Sort=A","Dates=H","DateFormat=P","Fill=—","Direction=H","UseDPDF=Y")</f>
        <v>1829.9</v>
      </c>
      <c r="AE54" s="13">
        <f>_xll.BDH("XOM US Equity","IS_TOT_CASH_COM_DVD","FQ3 2005","FQ3 2005","Currency=USD","Period=FQ","BEST_FPERIOD_OVERRIDE=FQ","FILING_STATUS=OR","SCALING_FORMAT=MLN","Sort=A","Dates=H","DateFormat=P","Fill=—","Direction=H","UseDPDF=Y")</f>
        <v>1809.89</v>
      </c>
      <c r="AF54" s="13">
        <f>_xll.BDH("XOM US Equity","IS_TOT_CASH_COM_DVD","FQ4 2005","FQ4 2005","Currency=USD","Period=FQ","BEST_FPERIOD_OVERRIDE=FQ","FILING_STATUS=OR","SCALING_FORMAT=MLN","Sort=A","Dates=H","DateFormat=P","Fill=—","Direction=H","UseDPDF=Y")</f>
        <v>1841.66</v>
      </c>
      <c r="AG54" s="13">
        <f>_xll.BDH("XOM US Equity","IS_TOT_CASH_COM_DVD","FQ1 2006","FQ1 2006","Currency=USD","Period=FQ","BEST_FPERIOD_OVERRIDE=FQ","FILING_STATUS=OR","SCALING_FORMAT=MLN","Sort=A","Dates=H","DateFormat=P","Fill=—","Direction=H","UseDPDF=Y")</f>
        <v>1941.76</v>
      </c>
      <c r="AH54" s="13">
        <f>_xll.BDH("XOM US Equity","IS_TOT_CASH_COM_DVD","FQ2 2006","FQ2 2006","Currency=USD","Period=FQ","BEST_FPERIOD_OVERRIDE=FQ","FILING_STATUS=OR","SCALING_FORMAT=MLN","Sort=A","Dates=H","DateFormat=P","Fill=—","Direction=H","UseDPDF=Y")</f>
        <v>1910.72</v>
      </c>
      <c r="AI54" s="13">
        <f>_xll.BDH("XOM US Equity","IS_TOT_CASH_COM_DVD","FQ3 2006","FQ3 2006","Currency=USD","Period=FQ","BEST_FPERIOD_OVERRIDE=FQ","FILING_STATUS=OR","SCALING_FORMAT=MLN","Sort=A","Dates=H","DateFormat=P","Fill=—","Direction=H","UseDPDF=Y")</f>
        <v>1875.52</v>
      </c>
      <c r="AJ54" s="13">
        <f>_xll.BDH("XOM US Equity","IS_TOT_CASH_COM_DVD","FQ4 2006","FQ4 2006","Currency=USD","Period=FQ","BEST_FPERIOD_OVERRIDE=FQ","FILING_STATUS=OR","SCALING_FORMAT=MLN","Sort=A","Dates=H","DateFormat=P","Fill=—","Direction=H","UseDPDF=Y")</f>
        <v>1840.64</v>
      </c>
      <c r="AK54" s="13">
        <f>_xll.BDH("XOM US Equity","IS_TOT_CASH_COM_DVD","FQ1 2007","FQ1 2007","Currency=USD","Period=FQ","BEST_FPERIOD_OVERRIDE=FQ","FILING_STATUS=OR","SCALING_FORMAT=MLN","Sort=A","Dates=H","DateFormat=P","Fill=—","Direction=H","UseDPDF=Y")</f>
        <v>1808</v>
      </c>
      <c r="AL54" s="13">
        <f>_xll.BDH("XOM US Equity","IS_TOT_CASH_COM_DVD","FQ2 2007","FQ2 2007","Currency=USD","Period=FQ","BEST_FPERIOD_OVERRIDE=FQ","FILING_STATUS=OR","SCALING_FORMAT=MLN","Sort=A","Dates=H","DateFormat=P","Fill=—","Direction=H","UseDPDF=Y")</f>
        <v>1944.25</v>
      </c>
      <c r="AM54" s="13">
        <f>_xll.BDH("XOM US Equity","IS_TOT_CASH_COM_DVD","FQ3 2007","FQ3 2007","Currency=USD","Period=FQ","BEST_FPERIOD_OVERRIDE=FQ","FILING_STATUS=OR","SCALING_FORMAT=MLN","Sort=A","Dates=H","DateFormat=P","Fill=—","Direction=H","UseDPDF=Y")</f>
        <v>1914.5</v>
      </c>
      <c r="AN54" s="13">
        <f>_xll.BDH("XOM US Equity","IS_TOT_CASH_COM_DVD","FQ4 2007","FQ4 2007","Currency=USD","Period=FQ","BEST_FPERIOD_OVERRIDE=FQ","FILING_STATUS=OR","SCALING_FORMAT=MLN","Sort=A","Dates=H","DateFormat=P","Fill=—","Direction=H","UseDPDF=Y")</f>
        <v>1891.54</v>
      </c>
      <c r="AO54" s="13">
        <f>_xll.BDH("XOM US Equity","IS_TOT_CASH_COM_DVD","FQ1 2008","FQ1 2008","Currency=USD","Period=FQ","BEST_FPERIOD_OVERRIDE=FQ","FILING_STATUS=OR","SCALING_FORMAT=MLN","Sort=A","Dates=H","DateFormat=P","Fill=—","Direction=H","UseDPDF=Y")</f>
        <v>1855.35</v>
      </c>
      <c r="AP54" s="13">
        <f>_xll.BDH("XOM US Equity","IS_TOT_CASH_COM_DVD","FQ2 2008","FQ2 2008","Currency=USD","Period=FQ","BEST_FPERIOD_OVERRIDE=FQ","FILING_STATUS=OR","SCALING_FORMAT=MLN","Sort=A","Dates=H","DateFormat=P","Fill=—","Direction=H","UseDPDF=Y")</f>
        <v>2080.4</v>
      </c>
    </row>
    <row r="55" spans="1:42" x14ac:dyDescent="0.25">
      <c r="A55" s="10" t="s">
        <v>170</v>
      </c>
      <c r="B55" s="10" t="s">
        <v>171</v>
      </c>
      <c r="C55" s="13" t="str">
        <f>_xll.BDH("XOM US Equity","IS_EXPORT_SALES","FQ3 1998","FQ3 1998","Currency=USD","Period=FQ","BEST_FPERIOD_OVERRIDE=FQ","FILING_STATUS=OR","SCALING_FORMAT=MLN","Sort=A","Dates=H","DateFormat=P","Fill=—","Direction=H","UseDPDF=Y")</f>
        <v>—</v>
      </c>
      <c r="D55" s="13" t="str">
        <f>_xll.BDH("XOM US Equity","IS_EXPORT_SALES","FQ4 1998","FQ4 1998","Currency=USD","Period=FQ","BEST_FPERIOD_OVERRIDE=FQ","FILING_STATUS=OR","SCALING_FORMAT=MLN","Sort=A","Dates=H","DateFormat=P","Fill=—","Direction=H","UseDPDF=Y")</f>
        <v>—</v>
      </c>
      <c r="E55" s="13">
        <f>_xll.BDH("XOM US Equity","IS_EXPORT_SALES","FQ1 1999","FQ1 1999","Currency=USD","Period=FQ","BEST_FPERIOD_OVERRIDE=FQ","FILING_STATUS=OR","SCALING_FORMAT=MLN","Sort=A","Dates=H","DateFormat=P","Fill=—","Direction=H","UseDPDF=Y")</f>
        <v>0</v>
      </c>
      <c r="F55" s="13">
        <f>_xll.BDH("XOM US Equity","IS_EXPORT_SALES","FQ2 1999","FQ2 1999","Currency=USD","Period=FQ","BEST_FPERIOD_OVERRIDE=FQ","FILING_STATUS=OR","SCALING_FORMAT=MLN","Sort=A","Dates=H","DateFormat=P","Fill=—","Direction=H","UseDPDF=Y")</f>
        <v>0</v>
      </c>
      <c r="G55" s="13">
        <f>_xll.BDH("XOM US Equity","IS_EXPORT_SALES","FQ3 1999","FQ3 1999","Currency=USD","Period=FQ","BEST_FPERIOD_OVERRIDE=FQ","FILING_STATUS=OR","SCALING_FORMAT=MLN","Sort=A","Dates=H","DateFormat=P","Fill=—","Direction=H","UseDPDF=Y")</f>
        <v>0</v>
      </c>
      <c r="H55" s="13" t="str">
        <f>_xll.BDH("XOM US Equity","IS_EXPORT_SALES","FQ4 1999","FQ4 1999","Currency=USD","Period=FQ","BEST_FPERIOD_OVERRIDE=FQ","FILING_STATUS=OR","SCALING_FORMAT=MLN","Sort=A","Dates=H","DateFormat=P","Fill=—","Direction=H","UseDPDF=Y")</f>
        <v>—</v>
      </c>
      <c r="I55" s="13" t="str">
        <f>_xll.BDH("XOM US Equity","IS_EXPORT_SALES","FQ1 2000","FQ1 2000","Currency=USD","Period=FQ","BEST_FPERIOD_OVERRIDE=FQ","FILING_STATUS=OR","SCALING_FORMAT=MLN","Sort=A","Dates=H","DateFormat=P","Fill=—","Direction=H","UseDPDF=Y")</f>
        <v>—</v>
      </c>
      <c r="J55" s="13" t="str">
        <f>_xll.BDH("XOM US Equity","IS_EXPORT_SALES","FQ2 2000","FQ2 2000","Currency=USD","Period=FQ","BEST_FPERIOD_OVERRIDE=FQ","FILING_STATUS=OR","SCALING_FORMAT=MLN","Sort=A","Dates=H","DateFormat=P","Fill=—","Direction=H","UseDPDF=Y")</f>
        <v>—</v>
      </c>
      <c r="K55" s="13" t="str">
        <f>_xll.BDH("XOM US Equity","IS_EXPORT_SALES","FQ3 2000","FQ3 2000","Currency=USD","Period=FQ","BEST_FPERIOD_OVERRIDE=FQ","FILING_STATUS=OR","SCALING_FORMAT=MLN","Sort=A","Dates=H","DateFormat=P","Fill=—","Direction=H","UseDPDF=Y")</f>
        <v>—</v>
      </c>
      <c r="L55" s="13" t="str">
        <f>_xll.BDH("XOM US Equity","IS_EXPORT_SALES","FQ4 2000","FQ4 2000","Currency=USD","Period=FQ","BEST_FPERIOD_OVERRIDE=FQ","FILING_STATUS=OR","SCALING_FORMAT=MLN","Sort=A","Dates=H","DateFormat=P","Fill=—","Direction=H","UseDPDF=Y")</f>
        <v>—</v>
      </c>
      <c r="M55" s="13" t="str">
        <f>_xll.BDH("XOM US Equity","IS_EXPORT_SALES","FQ1 2001","FQ1 2001","Currency=USD","Period=FQ","BEST_FPERIOD_OVERRIDE=FQ","FILING_STATUS=OR","SCALING_FORMAT=MLN","Sort=A","Dates=H","DateFormat=P","Fill=—","Direction=H","UseDPDF=Y")</f>
        <v>—</v>
      </c>
      <c r="N55" s="13" t="str">
        <f>_xll.BDH("XOM US Equity","IS_EXPORT_SALES","FQ2 2001","FQ2 2001","Currency=USD","Period=FQ","BEST_FPERIOD_OVERRIDE=FQ","FILING_STATUS=OR","SCALING_FORMAT=MLN","Sort=A","Dates=H","DateFormat=P","Fill=—","Direction=H","UseDPDF=Y")</f>
        <v>—</v>
      </c>
      <c r="O55" s="13" t="str">
        <f>_xll.BDH("XOM US Equity","IS_EXPORT_SALES","FQ3 2001","FQ3 2001","Currency=USD","Period=FQ","BEST_FPERIOD_OVERRIDE=FQ","FILING_STATUS=OR","SCALING_FORMAT=MLN","Sort=A","Dates=H","DateFormat=P","Fill=—","Direction=H","UseDPDF=Y")</f>
        <v>—</v>
      </c>
      <c r="P55" s="13" t="str">
        <f>_xll.BDH("XOM US Equity","IS_EXPORT_SALES","FQ4 2001","FQ4 2001","Currency=USD","Period=FQ","BEST_FPERIOD_OVERRIDE=FQ","FILING_STATUS=OR","SCALING_FORMAT=MLN","Sort=A","Dates=H","DateFormat=P","Fill=—","Direction=H","UseDPDF=Y")</f>
        <v>—</v>
      </c>
      <c r="Q55" s="13" t="str">
        <f>_xll.BDH("XOM US Equity","IS_EXPORT_SALES","FQ1 2002","FQ1 2002","Currency=USD","Period=FQ","BEST_FPERIOD_OVERRIDE=FQ","FILING_STATUS=OR","SCALING_FORMAT=MLN","Sort=A","Dates=H","DateFormat=P","Fill=—","Direction=H","UseDPDF=Y")</f>
        <v>—</v>
      </c>
      <c r="R55" s="13" t="str">
        <f>_xll.BDH("XOM US Equity","IS_EXPORT_SALES","FQ2 2002","FQ2 2002","Currency=USD","Period=FQ","BEST_FPERIOD_OVERRIDE=FQ","FILING_STATUS=OR","SCALING_FORMAT=MLN","Sort=A","Dates=H","DateFormat=P","Fill=—","Direction=H","UseDPDF=Y")</f>
        <v>—</v>
      </c>
      <c r="S55" s="13" t="str">
        <f>_xll.BDH("XOM US Equity","IS_EXPORT_SALES","FQ3 2002","FQ3 2002","Currency=USD","Period=FQ","BEST_FPERIOD_OVERRIDE=FQ","FILING_STATUS=OR","SCALING_FORMAT=MLN","Sort=A","Dates=H","DateFormat=P","Fill=—","Direction=H","UseDPDF=Y")</f>
        <v>—</v>
      </c>
      <c r="T55" s="13" t="str">
        <f>_xll.BDH("XOM US Equity","IS_EXPORT_SALES","FQ4 2002","FQ4 2002","Currency=USD","Period=FQ","BEST_FPERIOD_OVERRIDE=FQ","FILING_STATUS=OR","SCALING_FORMAT=MLN","Sort=A","Dates=H","DateFormat=P","Fill=—","Direction=H","UseDPDF=Y")</f>
        <v>—</v>
      </c>
      <c r="U55" s="13" t="str">
        <f>_xll.BDH("XOM US Equity","IS_EXPORT_SALES","FQ1 2003","FQ1 2003","Currency=USD","Period=FQ","BEST_FPERIOD_OVERRIDE=FQ","FILING_STATUS=OR","SCALING_FORMAT=MLN","Sort=A","Dates=H","DateFormat=P","Fill=—","Direction=H","UseDPDF=Y")</f>
        <v>—</v>
      </c>
      <c r="V55" s="13" t="str">
        <f>_xll.BDH("XOM US Equity","IS_EXPORT_SALES","FQ2 2003","FQ2 2003","Currency=USD","Period=FQ","BEST_FPERIOD_OVERRIDE=FQ","FILING_STATUS=OR","SCALING_FORMAT=MLN","Sort=A","Dates=H","DateFormat=P","Fill=—","Direction=H","UseDPDF=Y")</f>
        <v>—</v>
      </c>
      <c r="W55" s="13" t="str">
        <f>_xll.BDH("XOM US Equity","IS_EXPORT_SALES","FQ3 2003","FQ3 2003","Currency=USD","Period=FQ","BEST_FPERIOD_OVERRIDE=FQ","FILING_STATUS=OR","SCALING_FORMAT=MLN","Sort=A","Dates=H","DateFormat=P","Fill=—","Direction=H","UseDPDF=Y")</f>
        <v>—</v>
      </c>
      <c r="X55" s="13" t="str">
        <f>_xll.BDH("XOM US Equity","IS_EXPORT_SALES","FQ4 2003","FQ4 2003","Currency=USD","Period=FQ","BEST_FPERIOD_OVERRIDE=FQ","FILING_STATUS=OR","SCALING_FORMAT=MLN","Sort=A","Dates=H","DateFormat=P","Fill=—","Direction=H","UseDPDF=Y")</f>
        <v>—</v>
      </c>
      <c r="Y55" s="13" t="str">
        <f>_xll.BDH("XOM US Equity","IS_EXPORT_SALES","FQ1 2004","FQ1 2004","Currency=USD","Period=FQ","BEST_FPERIOD_OVERRIDE=FQ","FILING_STATUS=OR","SCALING_FORMAT=MLN","Sort=A","Dates=H","DateFormat=P","Fill=—","Direction=H","UseDPDF=Y")</f>
        <v>—</v>
      </c>
      <c r="Z55" s="13" t="str">
        <f>_xll.BDH("XOM US Equity","IS_EXPORT_SALES","FQ2 2004","FQ2 2004","Currency=USD","Period=FQ","BEST_FPERIOD_OVERRIDE=FQ","FILING_STATUS=OR","SCALING_FORMAT=MLN","Sort=A","Dates=H","DateFormat=P","Fill=—","Direction=H","UseDPDF=Y")</f>
        <v>—</v>
      </c>
      <c r="AA55" s="13" t="str">
        <f>_xll.BDH("XOM US Equity","IS_EXPORT_SALES","FQ3 2004","FQ3 2004","Currency=USD","Period=FQ","BEST_FPERIOD_OVERRIDE=FQ","FILING_STATUS=OR","SCALING_FORMAT=MLN","Sort=A","Dates=H","DateFormat=P","Fill=—","Direction=H","UseDPDF=Y")</f>
        <v>—</v>
      </c>
      <c r="AB55" s="13" t="str">
        <f>_xll.BDH("XOM US Equity","IS_EXPORT_SALES","FQ4 2004","FQ4 2004","Currency=USD","Period=FQ","BEST_FPERIOD_OVERRIDE=FQ","FILING_STATUS=OR","SCALING_FORMAT=MLN","Sort=A","Dates=H","DateFormat=P","Fill=—","Direction=H","UseDPDF=Y")</f>
        <v>—</v>
      </c>
      <c r="AC55" s="13" t="str">
        <f>_xll.BDH("XOM US Equity","IS_EXPORT_SALES","FQ1 2005","FQ1 2005","Currency=USD","Period=FQ","BEST_FPERIOD_OVERRIDE=FQ","FILING_STATUS=OR","SCALING_FORMAT=MLN","Sort=A","Dates=H","DateFormat=P","Fill=—","Direction=H","UseDPDF=Y")</f>
        <v>—</v>
      </c>
      <c r="AD55" s="13" t="str">
        <f>_xll.BDH("XOM US Equity","IS_EXPORT_SALES","FQ2 2005","FQ2 2005","Currency=USD","Period=FQ","BEST_FPERIOD_OVERRIDE=FQ","FILING_STATUS=OR","SCALING_FORMAT=MLN","Sort=A","Dates=H","DateFormat=P","Fill=—","Direction=H","UseDPDF=Y")</f>
        <v>—</v>
      </c>
      <c r="AE55" s="13" t="str">
        <f>_xll.BDH("XOM US Equity","IS_EXPORT_SALES","FQ3 2005","FQ3 2005","Currency=USD","Period=FQ","BEST_FPERIOD_OVERRIDE=FQ","FILING_STATUS=OR","SCALING_FORMAT=MLN","Sort=A","Dates=H","DateFormat=P","Fill=—","Direction=H","UseDPDF=Y")</f>
        <v>—</v>
      </c>
      <c r="AF55" s="13" t="str">
        <f>_xll.BDH("XOM US Equity","IS_EXPORT_SALES","FQ4 2005","FQ4 2005","Currency=USD","Period=FQ","BEST_FPERIOD_OVERRIDE=FQ","FILING_STATUS=OR","SCALING_FORMAT=MLN","Sort=A","Dates=H","DateFormat=P","Fill=—","Direction=H","UseDPDF=Y")</f>
        <v>—</v>
      </c>
      <c r="AG55" s="13" t="str">
        <f>_xll.BDH("XOM US Equity","IS_EXPORT_SALES","FQ1 2006","FQ1 2006","Currency=USD","Period=FQ","BEST_FPERIOD_OVERRIDE=FQ","FILING_STATUS=OR","SCALING_FORMAT=MLN","Sort=A","Dates=H","DateFormat=P","Fill=—","Direction=H","UseDPDF=Y")</f>
        <v>—</v>
      </c>
      <c r="AH55" s="13" t="str">
        <f>_xll.BDH("XOM US Equity","IS_EXPORT_SALES","FQ2 2006","FQ2 2006","Currency=USD","Period=FQ","BEST_FPERIOD_OVERRIDE=FQ","FILING_STATUS=OR","SCALING_FORMAT=MLN","Sort=A","Dates=H","DateFormat=P","Fill=—","Direction=H","UseDPDF=Y")</f>
        <v>—</v>
      </c>
      <c r="AI55" s="13" t="str">
        <f>_xll.BDH("XOM US Equity","IS_EXPORT_SALES","FQ3 2006","FQ3 2006","Currency=USD","Period=FQ","BEST_FPERIOD_OVERRIDE=FQ","FILING_STATUS=OR","SCALING_FORMAT=MLN","Sort=A","Dates=H","DateFormat=P","Fill=—","Direction=H","UseDPDF=Y")</f>
        <v>—</v>
      </c>
      <c r="AJ55" s="13" t="str">
        <f>_xll.BDH("XOM US Equity","IS_EXPORT_SALES","FQ4 2006","FQ4 2006","Currency=USD","Period=FQ","BEST_FPERIOD_OVERRIDE=FQ","FILING_STATUS=OR","SCALING_FORMAT=MLN","Sort=A","Dates=H","DateFormat=P","Fill=—","Direction=H","UseDPDF=Y")</f>
        <v>—</v>
      </c>
      <c r="AK55" s="13" t="str">
        <f>_xll.BDH("XOM US Equity","IS_EXPORT_SALES","FQ1 2007","FQ1 2007","Currency=USD","Period=FQ","BEST_FPERIOD_OVERRIDE=FQ","FILING_STATUS=OR","SCALING_FORMAT=MLN","Sort=A","Dates=H","DateFormat=P","Fill=—","Direction=H","UseDPDF=Y")</f>
        <v>—</v>
      </c>
      <c r="AL55" s="13" t="str">
        <f>_xll.BDH("XOM US Equity","IS_EXPORT_SALES","FQ2 2007","FQ2 2007","Currency=USD","Period=FQ","BEST_FPERIOD_OVERRIDE=FQ","FILING_STATUS=OR","SCALING_FORMAT=MLN","Sort=A","Dates=H","DateFormat=P","Fill=—","Direction=H","UseDPDF=Y")</f>
        <v>—</v>
      </c>
      <c r="AM55" s="13" t="str">
        <f>_xll.BDH("XOM US Equity","IS_EXPORT_SALES","FQ3 2007","FQ3 2007","Currency=USD","Period=FQ","BEST_FPERIOD_OVERRIDE=FQ","FILING_STATUS=OR","SCALING_FORMAT=MLN","Sort=A","Dates=H","DateFormat=P","Fill=—","Direction=H","UseDPDF=Y")</f>
        <v>—</v>
      </c>
      <c r="AN55" s="13" t="str">
        <f>_xll.BDH("XOM US Equity","IS_EXPORT_SALES","FQ4 2007","FQ4 2007","Currency=USD","Period=FQ","BEST_FPERIOD_OVERRIDE=FQ","FILING_STATUS=OR","SCALING_FORMAT=MLN","Sort=A","Dates=H","DateFormat=P","Fill=—","Direction=H","UseDPDF=Y")</f>
        <v>—</v>
      </c>
      <c r="AO55" s="13" t="str">
        <f>_xll.BDH("XOM US Equity","IS_EXPORT_SALES","FQ1 2008","FQ1 2008","Currency=USD","Period=FQ","BEST_FPERIOD_OVERRIDE=FQ","FILING_STATUS=OR","SCALING_FORMAT=MLN","Sort=A","Dates=H","DateFormat=P","Fill=—","Direction=H","UseDPDF=Y")</f>
        <v>—</v>
      </c>
      <c r="AP55" s="13" t="str">
        <f>_xll.BDH("XOM US Equity","IS_EXPORT_SALES","FQ2 2008","FQ2 2008","Currency=USD","Period=FQ","BEST_FPERIOD_OVERRIDE=FQ","FILING_STATUS=OR","SCALING_FORMAT=MLN","Sort=A","Dates=H","DateFormat=P","Fill=—","Direction=H","UseDPDF=Y")</f>
        <v>—</v>
      </c>
    </row>
    <row r="56" spans="1:42" x14ac:dyDescent="0.25">
      <c r="A56" s="10" t="s">
        <v>172</v>
      </c>
      <c r="B56" s="10" t="s">
        <v>173</v>
      </c>
      <c r="C56" s="13">
        <f>_xll.BDH("XOM US Equity","IS_DEPR_EXP","FQ3 1998","FQ3 1998","Currency=USD","Period=FQ","BEST_FPERIOD_OVERRIDE=FQ","FILING_STATUS=OR","SCALING_FORMAT=MLN","Sort=A","Dates=H","DateFormat=P","Fill=—","Direction=H","UseDPDF=Y")</f>
        <v>1337</v>
      </c>
      <c r="D56" s="13" t="str">
        <f>_xll.BDH("XOM US Equity","IS_DEPR_EXP","FQ4 1998","FQ4 1998","Currency=USD","Period=FQ","BEST_FPERIOD_OVERRIDE=FQ","FILING_STATUS=OR","SCALING_FORMAT=MLN","Sort=A","Dates=H","DateFormat=P","Fill=—","Direction=H","UseDPDF=Y")</f>
        <v>—</v>
      </c>
      <c r="E56" s="13" t="str">
        <f>_xll.BDH("XOM US Equity","IS_DEPR_EXP","FQ1 1999","FQ1 1999","Currency=USD","Period=FQ","BEST_FPERIOD_OVERRIDE=FQ","FILING_STATUS=OR","SCALING_FORMAT=MLN","Sort=A","Dates=H","DateFormat=P","Fill=—","Direction=H","UseDPDF=Y")</f>
        <v>—</v>
      </c>
      <c r="F56" s="13" t="str">
        <f>_xll.BDH("XOM US Equity","IS_DEPR_EXP","FQ2 1999","FQ2 1999","Currency=USD","Period=FQ","BEST_FPERIOD_OVERRIDE=FQ","FILING_STATUS=OR","SCALING_FORMAT=MLN","Sort=A","Dates=H","DateFormat=P","Fill=—","Direction=H","UseDPDF=Y")</f>
        <v>—</v>
      </c>
      <c r="G56" s="13" t="str">
        <f>_xll.BDH("XOM US Equity","IS_DEPR_EXP","FQ3 1999","FQ3 1999","Currency=USD","Period=FQ","BEST_FPERIOD_OVERRIDE=FQ","FILING_STATUS=OR","SCALING_FORMAT=MLN","Sort=A","Dates=H","DateFormat=P","Fill=—","Direction=H","UseDPDF=Y")</f>
        <v>—</v>
      </c>
      <c r="H56" s="13" t="str">
        <f>_xll.BDH("XOM US Equity","IS_DEPR_EXP","FQ4 1999","FQ4 1999","Currency=USD","Period=FQ","BEST_FPERIOD_OVERRIDE=FQ","FILING_STATUS=OR","SCALING_FORMAT=MLN","Sort=A","Dates=H","DateFormat=P","Fill=—","Direction=H","UseDPDF=Y")</f>
        <v>—</v>
      </c>
      <c r="I56" s="13" t="str">
        <f>_xll.BDH("XOM US Equity","IS_DEPR_EXP","FQ1 2000","FQ1 2000","Currency=USD","Period=FQ","BEST_FPERIOD_OVERRIDE=FQ","FILING_STATUS=OR","SCALING_FORMAT=MLN","Sort=A","Dates=H","DateFormat=P","Fill=—","Direction=H","UseDPDF=Y")</f>
        <v>—</v>
      </c>
      <c r="J56" s="13" t="str">
        <f>_xll.BDH("XOM US Equity","IS_DEPR_EXP","FQ2 2000","FQ2 2000","Currency=USD","Period=FQ","BEST_FPERIOD_OVERRIDE=FQ","FILING_STATUS=OR","SCALING_FORMAT=MLN","Sort=A","Dates=H","DateFormat=P","Fill=—","Direction=H","UseDPDF=Y")</f>
        <v>—</v>
      </c>
      <c r="K56" s="13" t="str">
        <f>_xll.BDH("XOM US Equity","IS_DEPR_EXP","FQ3 2000","FQ3 2000","Currency=USD","Period=FQ","BEST_FPERIOD_OVERRIDE=FQ","FILING_STATUS=OR","SCALING_FORMAT=MLN","Sort=A","Dates=H","DateFormat=P","Fill=—","Direction=H","UseDPDF=Y")</f>
        <v>—</v>
      </c>
      <c r="L56" s="13" t="str">
        <f>_xll.BDH("XOM US Equity","IS_DEPR_EXP","FQ4 2000","FQ4 2000","Currency=USD","Period=FQ","BEST_FPERIOD_OVERRIDE=FQ","FILING_STATUS=OR","SCALING_FORMAT=MLN","Sort=A","Dates=H","DateFormat=P","Fill=—","Direction=H","UseDPDF=Y")</f>
        <v>—</v>
      </c>
      <c r="M56" s="13" t="str">
        <f>_xll.BDH("XOM US Equity","IS_DEPR_EXP","FQ1 2001","FQ1 2001","Currency=USD","Period=FQ","BEST_FPERIOD_OVERRIDE=FQ","FILING_STATUS=OR","SCALING_FORMAT=MLN","Sort=A","Dates=H","DateFormat=P","Fill=—","Direction=H","UseDPDF=Y")</f>
        <v>—</v>
      </c>
      <c r="N56" s="13" t="str">
        <f>_xll.BDH("XOM US Equity","IS_DEPR_EXP","FQ2 2001","FQ2 2001","Currency=USD","Period=FQ","BEST_FPERIOD_OVERRIDE=FQ","FILING_STATUS=OR","SCALING_FORMAT=MLN","Sort=A","Dates=H","DateFormat=P","Fill=—","Direction=H","UseDPDF=Y")</f>
        <v>—</v>
      </c>
      <c r="O56" s="13" t="str">
        <f>_xll.BDH("XOM US Equity","IS_DEPR_EXP","FQ3 2001","FQ3 2001","Currency=USD","Period=FQ","BEST_FPERIOD_OVERRIDE=FQ","FILING_STATUS=OR","SCALING_FORMAT=MLN","Sort=A","Dates=H","DateFormat=P","Fill=—","Direction=H","UseDPDF=Y")</f>
        <v>—</v>
      </c>
      <c r="P56" s="13" t="str">
        <f>_xll.BDH("XOM US Equity","IS_DEPR_EXP","FQ4 2001","FQ4 2001","Currency=USD","Period=FQ","BEST_FPERIOD_OVERRIDE=FQ","FILING_STATUS=OR","SCALING_FORMAT=MLN","Sort=A","Dates=H","DateFormat=P","Fill=—","Direction=H","UseDPDF=Y")</f>
        <v>—</v>
      </c>
      <c r="Q56" s="13" t="str">
        <f>_xll.BDH("XOM US Equity","IS_DEPR_EXP","FQ1 2002","FQ1 2002","Currency=USD","Period=FQ","BEST_FPERIOD_OVERRIDE=FQ","FILING_STATUS=OR","SCALING_FORMAT=MLN","Sort=A","Dates=H","DateFormat=P","Fill=—","Direction=H","UseDPDF=Y")</f>
        <v>—</v>
      </c>
      <c r="R56" s="13" t="str">
        <f>_xll.BDH("XOM US Equity","IS_DEPR_EXP","FQ2 2002","FQ2 2002","Currency=USD","Period=FQ","BEST_FPERIOD_OVERRIDE=FQ","FILING_STATUS=OR","SCALING_FORMAT=MLN","Sort=A","Dates=H","DateFormat=P","Fill=—","Direction=H","UseDPDF=Y")</f>
        <v>—</v>
      </c>
      <c r="S56" s="13" t="str">
        <f>_xll.BDH("XOM US Equity","IS_DEPR_EXP","FQ3 2002","FQ3 2002","Currency=USD","Period=FQ","BEST_FPERIOD_OVERRIDE=FQ","FILING_STATUS=OR","SCALING_FORMAT=MLN","Sort=A","Dates=H","DateFormat=P","Fill=—","Direction=H","UseDPDF=Y")</f>
        <v>—</v>
      </c>
      <c r="T56" s="13">
        <f>_xll.BDH("XOM US Equity","IS_DEPR_EXP","FQ4 2002","FQ4 2002","Currency=USD","Period=FQ","BEST_FPERIOD_OVERRIDE=FQ","FILING_STATUS=OR","SCALING_FORMAT=MLN","Sort=A","Dates=H","DateFormat=P","Fill=—","Direction=H","UseDPDF=Y")</f>
        <v>2075</v>
      </c>
      <c r="U56" s="13" t="str">
        <f>_xll.BDH("XOM US Equity","IS_DEPR_EXP","FQ1 2003","FQ1 2003","Currency=USD","Period=FQ","BEST_FPERIOD_OVERRIDE=FQ","FILING_STATUS=OR","SCALING_FORMAT=MLN","Sort=A","Dates=H","DateFormat=P","Fill=—","Direction=H","UseDPDF=Y")</f>
        <v>—</v>
      </c>
      <c r="V56" s="13" t="str">
        <f>_xll.BDH("XOM US Equity","IS_DEPR_EXP","FQ2 2003","FQ2 2003","Currency=USD","Period=FQ","BEST_FPERIOD_OVERRIDE=FQ","FILING_STATUS=OR","SCALING_FORMAT=MLN","Sort=A","Dates=H","DateFormat=P","Fill=—","Direction=H","UseDPDF=Y")</f>
        <v>—</v>
      </c>
      <c r="W56" s="13" t="str">
        <f>_xll.BDH("XOM US Equity","IS_DEPR_EXP","FQ3 2003","FQ3 2003","Currency=USD","Period=FQ","BEST_FPERIOD_OVERRIDE=FQ","FILING_STATUS=OR","SCALING_FORMAT=MLN","Sort=A","Dates=H","DateFormat=P","Fill=—","Direction=H","UseDPDF=Y")</f>
        <v>—</v>
      </c>
      <c r="X56" s="13" t="str">
        <f>_xll.BDH("XOM US Equity","IS_DEPR_EXP","FQ4 2003","FQ4 2003","Currency=USD","Period=FQ","BEST_FPERIOD_OVERRIDE=FQ","FILING_STATUS=OR","SCALING_FORMAT=MLN","Sort=A","Dates=H","DateFormat=P","Fill=—","Direction=H","UseDPDF=Y")</f>
        <v>—</v>
      </c>
      <c r="Y56" s="13" t="str">
        <f>_xll.BDH("XOM US Equity","IS_DEPR_EXP","FQ1 2004","FQ1 2004","Currency=USD","Period=FQ","BEST_FPERIOD_OVERRIDE=FQ","FILING_STATUS=OR","SCALING_FORMAT=MLN","Sort=A","Dates=H","DateFormat=P","Fill=—","Direction=H","UseDPDF=Y")</f>
        <v>—</v>
      </c>
      <c r="Z56" s="13" t="str">
        <f>_xll.BDH("XOM US Equity","IS_DEPR_EXP","FQ2 2004","FQ2 2004","Currency=USD","Period=FQ","BEST_FPERIOD_OVERRIDE=FQ","FILING_STATUS=OR","SCALING_FORMAT=MLN","Sort=A","Dates=H","DateFormat=P","Fill=—","Direction=H","UseDPDF=Y")</f>
        <v>—</v>
      </c>
      <c r="AA56" s="13" t="str">
        <f>_xll.BDH("XOM US Equity","IS_DEPR_EXP","FQ3 2004","FQ3 2004","Currency=USD","Period=FQ","BEST_FPERIOD_OVERRIDE=FQ","FILING_STATUS=OR","SCALING_FORMAT=MLN","Sort=A","Dates=H","DateFormat=P","Fill=—","Direction=H","UseDPDF=Y")</f>
        <v>—</v>
      </c>
      <c r="AB56" s="13" t="str">
        <f>_xll.BDH("XOM US Equity","IS_DEPR_EXP","FQ4 2004","FQ4 2004","Currency=USD","Period=FQ","BEST_FPERIOD_OVERRIDE=FQ","FILING_STATUS=OR","SCALING_FORMAT=MLN","Sort=A","Dates=H","DateFormat=P","Fill=—","Direction=H","UseDPDF=Y")</f>
        <v>—</v>
      </c>
      <c r="AC56" s="13" t="str">
        <f>_xll.BDH("XOM US Equity","IS_DEPR_EXP","FQ1 2005","FQ1 2005","Currency=USD","Period=FQ","BEST_FPERIOD_OVERRIDE=FQ","FILING_STATUS=OR","SCALING_FORMAT=MLN","Sort=A","Dates=H","DateFormat=P","Fill=—","Direction=H","UseDPDF=Y")</f>
        <v>—</v>
      </c>
      <c r="AD56" s="13" t="str">
        <f>_xll.BDH("XOM US Equity","IS_DEPR_EXP","FQ2 2005","FQ2 2005","Currency=USD","Period=FQ","BEST_FPERIOD_OVERRIDE=FQ","FILING_STATUS=OR","SCALING_FORMAT=MLN","Sort=A","Dates=H","DateFormat=P","Fill=—","Direction=H","UseDPDF=Y")</f>
        <v>—</v>
      </c>
      <c r="AE56" s="13" t="str">
        <f>_xll.BDH("XOM US Equity","IS_DEPR_EXP","FQ3 2005","FQ3 2005","Currency=USD","Period=FQ","BEST_FPERIOD_OVERRIDE=FQ","FILING_STATUS=OR","SCALING_FORMAT=MLN","Sort=A","Dates=H","DateFormat=P","Fill=—","Direction=H","UseDPDF=Y")</f>
        <v>—</v>
      </c>
      <c r="AF56" s="13" t="str">
        <f>_xll.BDH("XOM US Equity","IS_DEPR_EXP","FQ4 2005","FQ4 2005","Currency=USD","Period=FQ","BEST_FPERIOD_OVERRIDE=FQ","FILING_STATUS=OR","SCALING_FORMAT=MLN","Sort=A","Dates=H","DateFormat=P","Fill=—","Direction=H","UseDPDF=Y")</f>
        <v>—</v>
      </c>
      <c r="AG56" s="13" t="str">
        <f>_xll.BDH("XOM US Equity","IS_DEPR_EXP","FQ1 2006","FQ1 2006","Currency=USD","Period=FQ","BEST_FPERIOD_OVERRIDE=FQ","FILING_STATUS=OR","SCALING_FORMAT=MLN","Sort=A","Dates=H","DateFormat=P","Fill=—","Direction=H","UseDPDF=Y")</f>
        <v>—</v>
      </c>
      <c r="AH56" s="13">
        <f>_xll.BDH("XOM US Equity","IS_DEPR_EXP","FQ2 2006","FQ2 2006","Currency=USD","Period=FQ","BEST_FPERIOD_OVERRIDE=FQ","FILING_STATUS=OR","SCALING_FORMAT=MLN","Sort=A","Dates=H","DateFormat=P","Fill=—","Direction=H","UseDPDF=Y")</f>
        <v>2760</v>
      </c>
      <c r="AI56" s="13">
        <f>_xll.BDH("XOM US Equity","IS_DEPR_EXP","FQ3 2006","FQ3 2006","Currency=USD","Period=FQ","BEST_FPERIOD_OVERRIDE=FQ","FILING_STATUS=OR","SCALING_FORMAT=MLN","Sort=A","Dates=H","DateFormat=P","Fill=—","Direction=H","UseDPDF=Y")</f>
        <v>2730</v>
      </c>
      <c r="AJ56" s="13">
        <f>_xll.BDH("XOM US Equity","IS_DEPR_EXP","FQ4 2006","FQ4 2006","Currency=USD","Period=FQ","BEST_FPERIOD_OVERRIDE=FQ","FILING_STATUS=OR","SCALING_FORMAT=MLN","Sort=A","Dates=H","DateFormat=P","Fill=—","Direction=H","UseDPDF=Y")</f>
        <v>3282</v>
      </c>
      <c r="AK56" s="13">
        <f>_xll.BDH("XOM US Equity","IS_DEPR_EXP","FQ1 2007","FQ1 2007","Currency=USD","Period=FQ","BEST_FPERIOD_OVERRIDE=FQ","FILING_STATUS=OR","SCALING_FORMAT=MLN","Sort=A","Dates=H","DateFormat=P","Fill=—","Direction=H","UseDPDF=Y")</f>
        <v>2942</v>
      </c>
      <c r="AL56" s="13">
        <f>_xll.BDH("XOM US Equity","IS_DEPR_EXP","FQ2 2007","FQ2 2007","Currency=USD","Period=FQ","BEST_FPERIOD_OVERRIDE=FQ","FILING_STATUS=OR","SCALING_FORMAT=MLN","Sort=A","Dates=H","DateFormat=P","Fill=—","Direction=H","UseDPDF=Y")</f>
        <v>2994</v>
      </c>
      <c r="AM56" s="13">
        <f>_xll.BDH("XOM US Equity","IS_DEPR_EXP","FQ3 2007","FQ3 2007","Currency=USD","Period=FQ","BEST_FPERIOD_OVERRIDE=FQ","FILING_STATUS=OR","SCALING_FORMAT=MLN","Sort=A","Dates=H","DateFormat=P","Fill=—","Direction=H","UseDPDF=Y")</f>
        <v>3159</v>
      </c>
      <c r="AN56" s="13">
        <f>_xll.BDH("XOM US Equity","IS_DEPR_EXP","FQ4 2007","FQ4 2007","Currency=USD","Period=FQ","BEST_FPERIOD_OVERRIDE=FQ","FILING_STATUS=OR","SCALING_FORMAT=MLN","Sort=A","Dates=H","DateFormat=P","Fill=—","Direction=H","UseDPDF=Y")</f>
        <v>3155</v>
      </c>
      <c r="AO56" s="13">
        <f>_xll.BDH("XOM US Equity","IS_DEPR_EXP","FQ1 2008","FQ1 2008","Currency=USD","Period=FQ","BEST_FPERIOD_OVERRIDE=FQ","FILING_STATUS=OR","SCALING_FORMAT=MLN","Sort=A","Dates=H","DateFormat=P","Fill=—","Direction=H","UseDPDF=Y")</f>
        <v>3104</v>
      </c>
      <c r="AP56" s="13">
        <f>_xll.BDH("XOM US Equity","IS_DEPR_EXP","FQ2 2008","FQ2 2008","Currency=USD","Period=FQ","BEST_FPERIOD_OVERRIDE=FQ","FILING_STATUS=OR","SCALING_FORMAT=MLN","Sort=A","Dates=H","DateFormat=P","Fill=—","Direction=H","UseDPDF=Y")</f>
        <v>3090</v>
      </c>
    </row>
    <row r="57" spans="1:42" x14ac:dyDescent="0.25">
      <c r="A57" s="7" t="s">
        <v>174</v>
      </c>
      <c r="B57" s="7"/>
      <c r="C57" s="7" t="s">
        <v>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6"/>
  <sheetViews>
    <sheetView topLeftCell="U31" workbookViewId="0">
      <selection activeCell="F29" sqref="F29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175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176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177</v>
      </c>
      <c r="B7" s="10" t="s">
        <v>178</v>
      </c>
      <c r="C7" s="13">
        <f>_xll.BDH("XOM US Equity","C&amp;CE_AND_STI_DETAILED","FQ3 1998","FQ3 1998","Currency=USD","Period=FQ","BEST_FPERIOD_OVERRIDE=FQ","FILING_STATUS=OR","SCALING_FORMAT=MLN","Sort=A","Dates=H","DateFormat=P","Fill=—","Direction=H","UseDPDF=Y")</f>
        <v>2209</v>
      </c>
      <c r="D7" s="13">
        <f>_xll.BDH("XOM US Equity","C&amp;CE_AND_STI_DETAILED","FQ4 1998","FQ4 1998","Currency=USD","Period=FQ","BEST_FPERIOD_OVERRIDE=FQ","FILING_STATUS=OR","SCALING_FORMAT=MLN","Sort=A","Dates=H","DateFormat=P","Fill=—","Direction=H","UseDPDF=Y")</f>
        <v>1461</v>
      </c>
      <c r="E7" s="13">
        <f>_xll.BDH("XOM US Equity","C&amp;CE_AND_STI_DETAILED","FQ1 1999","FQ1 1999","Currency=USD","Period=FQ","BEST_FPERIOD_OVERRIDE=FQ","FILING_STATUS=OR","SCALING_FORMAT=MLN","Sort=A","Dates=H","DateFormat=P","Fill=—","Direction=H","UseDPDF=Y")</f>
        <v>1405</v>
      </c>
      <c r="F7" s="13">
        <f>_xll.BDH("XOM US Equity","C&amp;CE_AND_STI_DETAILED","FQ2 1999","FQ2 1999","Currency=USD","Period=FQ","BEST_FPERIOD_OVERRIDE=FQ","FILING_STATUS=OR","SCALING_FORMAT=MLN","Sort=A","Dates=H","DateFormat=P","Fill=—","Direction=H","UseDPDF=Y")</f>
        <v>1348</v>
      </c>
      <c r="G7" s="13">
        <f>_xll.BDH("XOM US Equity","C&amp;CE_AND_STI_DETAILED","FQ3 1999","FQ3 1999","Currency=USD","Period=FQ","BEST_FPERIOD_OVERRIDE=FQ","FILING_STATUS=OR","SCALING_FORMAT=MLN","Sort=A","Dates=H","DateFormat=P","Fill=—","Direction=H","UseDPDF=Y")</f>
        <v>1190</v>
      </c>
      <c r="H7" s="13">
        <f>_xll.BDH("XOM US Equity","C&amp;CE_AND_STI_DETAILED","FQ4 1999","FQ4 1999","Currency=USD","Period=FQ","BEST_FPERIOD_OVERRIDE=FQ","FILING_STATUS=OR","SCALING_FORMAT=MLN","Sort=A","Dates=H","DateFormat=P","Fill=—","Direction=H","UseDPDF=Y")</f>
        <v>1761</v>
      </c>
      <c r="I7" s="13">
        <f>_xll.BDH("XOM US Equity","C&amp;CE_AND_STI_DETAILED","FQ1 2000","FQ1 2000","Currency=USD","Period=FQ","BEST_FPERIOD_OVERRIDE=FQ","FILING_STATUS=OR","SCALING_FORMAT=MLN","Sort=A","Dates=H","DateFormat=P","Fill=—","Direction=H","UseDPDF=Y")</f>
        <v>2985</v>
      </c>
      <c r="J7" s="13">
        <f>_xll.BDH("XOM US Equity","C&amp;CE_AND_STI_DETAILED","FQ2 2000","FQ2 2000","Currency=USD","Period=FQ","BEST_FPERIOD_OVERRIDE=FQ","FILING_STATUS=OR","SCALING_FORMAT=MLN","Sort=A","Dates=H","DateFormat=P","Fill=—","Direction=H","UseDPDF=Y")</f>
        <v>5863</v>
      </c>
      <c r="K7" s="13">
        <f>_xll.BDH("XOM US Equity","C&amp;CE_AND_STI_DETAILED","FQ3 2000","FQ3 2000","Currency=USD","Period=FQ","BEST_FPERIOD_OVERRIDE=FQ","FILING_STATUS=OR","SCALING_FORMAT=MLN","Sort=A","Dates=H","DateFormat=P","Fill=—","Direction=H","UseDPDF=Y")</f>
        <v>6646</v>
      </c>
      <c r="L7" s="13">
        <f>_xll.BDH("XOM US Equity","C&amp;CE_AND_STI_DETAILED","FQ4 2000","FQ4 2000","Currency=USD","Period=FQ","BEST_FPERIOD_OVERRIDE=FQ","FILING_STATUS=OR","SCALING_FORMAT=MLN","Sort=A","Dates=H","DateFormat=P","Fill=—","Direction=H","UseDPDF=Y")</f>
        <v>7081</v>
      </c>
      <c r="M7" s="13">
        <f>_xll.BDH("XOM US Equity","C&amp;CE_AND_STI_DETAILED","FQ1 2001","FQ1 2001","Currency=USD","Period=FQ","BEST_FPERIOD_OVERRIDE=FQ","FILING_STATUS=OR","SCALING_FORMAT=MLN","Sort=A","Dates=H","DateFormat=P","Fill=—","Direction=H","UseDPDF=Y")</f>
        <v>10906</v>
      </c>
      <c r="N7" s="13">
        <f>_xll.BDH("XOM US Equity","C&amp;CE_AND_STI_DETAILED","FQ2 2001","FQ2 2001","Currency=USD","Period=FQ","BEST_FPERIOD_OVERRIDE=FQ","FILING_STATUS=OR","SCALING_FORMAT=MLN","Sort=A","Dates=H","DateFormat=P","Fill=—","Direction=H","UseDPDF=Y")</f>
        <v>9298</v>
      </c>
      <c r="O7" s="13">
        <f>_xll.BDH("XOM US Equity","C&amp;CE_AND_STI_DETAILED","FQ3 2001","FQ3 2001","Currency=USD","Period=FQ","BEST_FPERIOD_OVERRIDE=FQ","FILING_STATUS=OR","SCALING_FORMAT=MLN","Sort=A","Dates=H","DateFormat=P","Fill=—","Direction=H","UseDPDF=Y")</f>
        <v>9026</v>
      </c>
      <c r="P7" s="13">
        <f>_xll.BDH("XOM US Equity","C&amp;CE_AND_STI_DETAILED","FQ4 2001","FQ4 2001","Currency=USD","Period=FQ","BEST_FPERIOD_OVERRIDE=FQ","FILING_STATUS=OR","SCALING_FORMAT=MLN","Sort=A","Dates=H","DateFormat=P","Fill=—","Direction=H","UseDPDF=Y")</f>
        <v>6547</v>
      </c>
      <c r="Q7" s="13">
        <f>_xll.BDH("XOM US Equity","C&amp;CE_AND_STI_DETAILED","FQ1 2002","FQ1 2002","Currency=USD","Period=FQ","BEST_FPERIOD_OVERRIDE=FQ","FILING_STATUS=OR","SCALING_FORMAT=MLN","Sort=A","Dates=H","DateFormat=P","Fill=—","Direction=H","UseDPDF=Y")</f>
        <v>6622</v>
      </c>
      <c r="R7" s="13">
        <f>_xll.BDH("XOM US Equity","C&amp;CE_AND_STI_DETAILED","FQ2 2002","FQ2 2002","Currency=USD","Period=FQ","BEST_FPERIOD_OVERRIDE=FQ","FILING_STATUS=OR","SCALING_FORMAT=MLN","Sort=A","Dates=H","DateFormat=P","Fill=—","Direction=H","UseDPDF=Y")</f>
        <v>5700</v>
      </c>
      <c r="S7" s="13">
        <f>_xll.BDH("XOM US Equity","C&amp;CE_AND_STI_DETAILED","FQ3 2002","FQ3 2002","Currency=USD","Period=FQ","BEST_FPERIOD_OVERRIDE=FQ","FILING_STATUS=OR","SCALING_FORMAT=MLN","Sort=A","Dates=H","DateFormat=P","Fill=—","Direction=H","UseDPDF=Y")</f>
        <v>6937</v>
      </c>
      <c r="T7" s="13">
        <f>_xll.BDH("XOM US Equity","C&amp;CE_AND_STI_DETAILED","FQ4 2002","FQ4 2002","Currency=USD","Period=FQ","BEST_FPERIOD_OVERRIDE=FQ","FILING_STATUS=OR","SCALING_FORMAT=MLN","Sort=A","Dates=H","DateFormat=P","Fill=—","Direction=H","UseDPDF=Y")</f>
        <v>7229</v>
      </c>
      <c r="U7" s="13">
        <f>_xll.BDH("XOM US Equity","C&amp;CE_AND_STI_DETAILED","FQ1 2003","FQ1 2003","Currency=USD","Period=FQ","BEST_FPERIOD_OVERRIDE=FQ","FILING_STATUS=OR","SCALING_FORMAT=MLN","Sort=A","Dates=H","DateFormat=P","Fill=—","Direction=H","UseDPDF=Y")</f>
        <v>12328</v>
      </c>
      <c r="V7" s="13">
        <f>_xll.BDH("XOM US Equity","C&amp;CE_AND_STI_DETAILED","FQ2 2003","FQ2 2003","Currency=USD","Period=FQ","BEST_FPERIOD_OVERRIDE=FQ","FILING_STATUS=OR","SCALING_FORMAT=MLN","Sort=A","Dates=H","DateFormat=P","Fill=—","Direction=H","UseDPDF=Y")</f>
        <v>12521</v>
      </c>
      <c r="W7" s="13">
        <f>_xll.BDH("XOM US Equity","C&amp;CE_AND_STI_DETAILED","FQ3 2003","FQ3 2003","Currency=USD","Period=FQ","BEST_FPERIOD_OVERRIDE=FQ","FILING_STATUS=OR","SCALING_FORMAT=MLN","Sort=A","Dates=H","DateFormat=P","Fill=—","Direction=H","UseDPDF=Y")</f>
        <v>11015</v>
      </c>
      <c r="X7" s="13">
        <f>_xll.BDH("XOM US Equity","C&amp;CE_AND_STI_DETAILED","FQ4 2003","FQ4 2003","Currency=USD","Period=FQ","BEST_FPERIOD_OVERRIDE=FQ","FILING_STATUS=OR","SCALING_FORMAT=MLN","Sort=A","Dates=H","DateFormat=P","Fill=—","Direction=H","UseDPDF=Y")</f>
        <v>10626</v>
      </c>
      <c r="Y7" s="13">
        <f>_xll.BDH("XOM US Equity","C&amp;CE_AND_STI_DETAILED","FQ1 2004","FQ1 2004","Currency=USD","Period=FQ","BEST_FPERIOD_OVERRIDE=FQ","FILING_STATUS=OR","SCALING_FORMAT=MLN","Sort=A","Dates=H","DateFormat=P","Fill=—","Direction=H","UseDPDF=Y")</f>
        <v>15894</v>
      </c>
      <c r="Z7" s="13">
        <f>_xll.BDH("XOM US Equity","C&amp;CE_AND_STI_DETAILED","FQ2 2004","FQ2 2004","Currency=USD","Period=FQ","BEST_FPERIOD_OVERRIDE=FQ","FILING_STATUS=OR","SCALING_FORMAT=MLN","Sort=A","Dates=H","DateFormat=P","Fill=—","Direction=H","UseDPDF=Y")</f>
        <v>14177</v>
      </c>
      <c r="AA7" s="13">
        <f>_xll.BDH("XOM US Equity","C&amp;CE_AND_STI_DETAILED","FQ3 2004","FQ3 2004","Currency=USD","Period=FQ","BEST_FPERIOD_OVERRIDE=FQ","FILING_STATUS=OR","SCALING_FORMAT=MLN","Sort=A","Dates=H","DateFormat=P","Fill=—","Direction=H","UseDPDF=Y")</f>
        <v>16108</v>
      </c>
      <c r="AB7" s="13">
        <f>_xll.BDH("XOM US Equity","C&amp;CE_AND_STI_DETAILED","FQ4 2004","FQ4 2004","Currency=USD","Period=FQ","BEST_FPERIOD_OVERRIDE=FQ","FILING_STATUS=OR","SCALING_FORMAT=MLN","Sort=A","Dates=H","DateFormat=P","Fill=—","Direction=H","UseDPDF=Y")</f>
        <v>18531</v>
      </c>
      <c r="AC7" s="13">
        <f>_xll.BDH("XOM US Equity","C&amp;CE_AND_STI_DETAILED","FQ1 2005","FQ1 2005","Currency=USD","Period=FQ","BEST_FPERIOD_OVERRIDE=FQ","FILING_STATUS=OR","SCALING_FORMAT=MLN","Sort=A","Dates=H","DateFormat=P","Fill=—","Direction=H","UseDPDF=Y")</f>
        <v>25165</v>
      </c>
      <c r="AD7" s="13">
        <f>_xll.BDH("XOM US Equity","C&amp;CE_AND_STI_DETAILED","FQ2 2005","FQ2 2005","Currency=USD","Period=FQ","BEST_FPERIOD_OVERRIDE=FQ","FILING_STATUS=OR","SCALING_FORMAT=MLN","Sort=A","Dates=H","DateFormat=P","Fill=—","Direction=H","UseDPDF=Y")</f>
        <v>25648</v>
      </c>
      <c r="AE7" s="13">
        <f>_xll.BDH("XOM US Equity","C&amp;CE_AND_STI_DETAILED","FQ3 2005","FQ3 2005","Currency=USD","Period=FQ","BEST_FPERIOD_OVERRIDE=FQ","FILING_STATUS=OR","SCALING_FORMAT=MLN","Sort=A","Dates=H","DateFormat=P","Fill=—","Direction=H","UseDPDF=Y")</f>
        <v>29240</v>
      </c>
      <c r="AF7" s="13">
        <f>_xll.BDH("XOM US Equity","C&amp;CE_AND_STI_DETAILED","FQ4 2005","FQ4 2005","Currency=USD","Period=FQ","BEST_FPERIOD_OVERRIDE=FQ","FILING_STATUS=OR","SCALING_FORMAT=MLN","Sort=A","Dates=H","DateFormat=P","Fill=—","Direction=H","UseDPDF=Y")</f>
        <v>28671</v>
      </c>
      <c r="AG7" s="13">
        <f>_xll.BDH("XOM US Equity","C&amp;CE_AND_STI_DETAILED","FQ1 2006","FQ1 2006","Currency=USD","Period=FQ","BEST_FPERIOD_OVERRIDE=FQ","FILING_STATUS=OR","SCALING_FORMAT=MLN","Sort=A","Dates=H","DateFormat=P","Fill=—","Direction=H","UseDPDF=Y")</f>
        <v>31945</v>
      </c>
      <c r="AH7" s="13">
        <f>_xll.BDH("XOM US Equity","C&amp;CE_AND_STI_DETAILED","FQ2 2006","FQ2 2006","Currency=USD","Period=FQ","BEST_FPERIOD_OVERRIDE=FQ","FILING_STATUS=OR","SCALING_FORMAT=MLN","Sort=A","Dates=H","DateFormat=P","Fill=—","Direction=H","UseDPDF=Y")</f>
        <v>32113</v>
      </c>
      <c r="AI7" s="13">
        <f>_xll.BDH("XOM US Equity","C&amp;CE_AND_STI_DETAILED","FQ3 2006","FQ3 2006","Currency=USD","Period=FQ","BEST_FPERIOD_OVERRIDE=FQ","FILING_STATUS=OR","SCALING_FORMAT=MLN","Sort=A","Dates=H","DateFormat=P","Fill=—","Direction=H","UseDPDF=Y")</f>
        <v>32734</v>
      </c>
      <c r="AJ7" s="13">
        <f>_xll.BDH("XOM US Equity","C&amp;CE_AND_STI_DETAILED","FQ4 2006","FQ4 2006","Currency=USD","Period=FQ","BEST_FPERIOD_OVERRIDE=FQ","FILING_STATUS=OR","SCALING_FORMAT=MLN","Sort=A","Dates=H","DateFormat=P","Fill=—","Direction=H","UseDPDF=Y")</f>
        <v>28244</v>
      </c>
      <c r="AK7" s="13">
        <f>_xll.BDH("XOM US Equity","C&amp;CE_AND_STI_DETAILED","FQ1 2007","FQ1 2007","Currency=USD","Period=FQ","BEST_FPERIOD_OVERRIDE=FQ","FILING_STATUS=OR","SCALING_FORMAT=MLN","Sort=A","Dates=H","DateFormat=P","Fill=—","Direction=H","UseDPDF=Y")</f>
        <v>29994</v>
      </c>
      <c r="AL7" s="13">
        <f>_xll.BDH("XOM US Equity","C&amp;CE_AND_STI_DETAILED","FQ2 2007","FQ2 2007","Currency=USD","Period=FQ","BEST_FPERIOD_OVERRIDE=FQ","FILING_STATUS=OR","SCALING_FORMAT=MLN","Sort=A","Dates=H","DateFormat=P","Fill=—","Direction=H","UseDPDF=Y")</f>
        <v>28959</v>
      </c>
      <c r="AM7" s="13">
        <f>_xll.BDH("XOM US Equity","C&amp;CE_AND_STI_DETAILED","FQ3 2007","FQ3 2007","Currency=USD","Period=FQ","BEST_FPERIOD_OVERRIDE=FQ","FILING_STATUS=OR","SCALING_FORMAT=MLN","Sort=A","Dates=H","DateFormat=P","Fill=—","Direction=H","UseDPDF=Y")</f>
        <v>31613</v>
      </c>
      <c r="AN7" s="13">
        <f>_xll.BDH("XOM US Equity","C&amp;CE_AND_STI_DETAILED","FQ4 2007","FQ4 2007","Currency=USD","Period=FQ","BEST_FPERIOD_OVERRIDE=FQ","FILING_STATUS=OR","SCALING_FORMAT=MLN","Sort=A","Dates=H","DateFormat=P","Fill=—","Direction=H","UseDPDF=Y")</f>
        <v>34500</v>
      </c>
      <c r="AO7" s="13">
        <f>_xll.BDH("XOM US Equity","C&amp;CE_AND_STI_DETAILED","FQ1 2008","FQ1 2008","Currency=USD","Period=FQ","BEST_FPERIOD_OVERRIDE=FQ","FILING_STATUS=OR","SCALING_FORMAT=MLN","Sort=A","Dates=H","DateFormat=P","Fill=—","Direction=H","UseDPDF=Y")</f>
        <v>41393</v>
      </c>
      <c r="AP7" s="13">
        <f>_xll.BDH("XOM US Equity","C&amp;CE_AND_STI_DETAILED","FQ2 2008","FQ2 2008","Currency=USD","Period=FQ","BEST_FPERIOD_OVERRIDE=FQ","FILING_STATUS=OR","SCALING_FORMAT=MLN","Sort=A","Dates=H","DateFormat=P","Fill=—","Direction=H","UseDPDF=Y")</f>
        <v>39700</v>
      </c>
    </row>
    <row r="8" spans="1:42" x14ac:dyDescent="0.25">
      <c r="A8" s="10" t="s">
        <v>179</v>
      </c>
      <c r="B8" s="10" t="s">
        <v>180</v>
      </c>
      <c r="C8" s="13">
        <f>_xll.BDH("XOM US Equity","BS_CASH_NEAR_CASH_ITEM","FQ3 1998","FQ3 1998","Currency=USD","Period=FQ","BEST_FPERIOD_OVERRIDE=FQ","FILING_STATUS=OR","SCALING_FORMAT=MLN","Sort=A","Dates=H","DateFormat=P","Fill=—","Direction=H","UseDPDF=Y")</f>
        <v>2101</v>
      </c>
      <c r="D8" s="13">
        <f>_xll.BDH("XOM US Equity","BS_CASH_NEAR_CASH_ITEM","FQ4 1998","FQ4 1998","Currency=USD","Period=FQ","BEST_FPERIOD_OVERRIDE=FQ","FILING_STATUS=OR","SCALING_FORMAT=MLN","Sort=A","Dates=H","DateFormat=P","Fill=—","Direction=H","UseDPDF=Y")</f>
        <v>1441</v>
      </c>
      <c r="E8" s="13">
        <f>_xll.BDH("XOM US Equity","BS_CASH_NEAR_CASH_ITEM","FQ1 1999","FQ1 1999","Currency=USD","Period=FQ","BEST_FPERIOD_OVERRIDE=FQ","FILING_STATUS=OR","SCALING_FORMAT=MLN","Sort=A","Dates=H","DateFormat=P","Fill=—","Direction=H","UseDPDF=Y")</f>
        <v>1385</v>
      </c>
      <c r="F8" s="13">
        <f>_xll.BDH("XOM US Equity","BS_CASH_NEAR_CASH_ITEM","FQ2 1999","FQ2 1999","Currency=USD","Period=FQ","BEST_FPERIOD_OVERRIDE=FQ","FILING_STATUS=OR","SCALING_FORMAT=MLN","Sort=A","Dates=H","DateFormat=P","Fill=—","Direction=H","UseDPDF=Y")</f>
        <v>1328</v>
      </c>
      <c r="G8" s="13">
        <f>_xll.BDH("XOM US Equity","BS_CASH_NEAR_CASH_ITEM","FQ3 1999","FQ3 1999","Currency=USD","Period=FQ","BEST_FPERIOD_OVERRIDE=FQ","FILING_STATUS=OR","SCALING_FORMAT=MLN","Sort=A","Dates=H","DateFormat=P","Fill=—","Direction=H","UseDPDF=Y")</f>
        <v>1151</v>
      </c>
      <c r="H8" s="13">
        <f>_xll.BDH("XOM US Equity","BS_CASH_NEAR_CASH_ITEM","FQ4 1999","FQ4 1999","Currency=USD","Period=FQ","BEST_FPERIOD_OVERRIDE=FQ","FILING_STATUS=OR","SCALING_FORMAT=MLN","Sort=A","Dates=H","DateFormat=P","Fill=—","Direction=H","UseDPDF=Y")</f>
        <v>1688</v>
      </c>
      <c r="I8" s="13">
        <f>_xll.BDH("XOM US Equity","BS_CASH_NEAR_CASH_ITEM","FQ1 2000","FQ1 2000","Currency=USD","Period=FQ","BEST_FPERIOD_OVERRIDE=FQ","FILING_STATUS=OR","SCALING_FORMAT=MLN","Sort=A","Dates=H","DateFormat=P","Fill=—","Direction=H","UseDPDF=Y")</f>
        <v>2928</v>
      </c>
      <c r="J8" s="13">
        <f>_xll.BDH("XOM US Equity","BS_CASH_NEAR_CASH_ITEM","FQ2 2000","FQ2 2000","Currency=USD","Period=FQ","BEST_FPERIOD_OVERRIDE=FQ","FILING_STATUS=OR","SCALING_FORMAT=MLN","Sort=A","Dates=H","DateFormat=P","Fill=—","Direction=H","UseDPDF=Y")</f>
        <v>5813</v>
      </c>
      <c r="K8" s="13">
        <f>_xll.BDH("XOM US Equity","BS_CASH_NEAR_CASH_ITEM","FQ3 2000","FQ3 2000","Currency=USD","Period=FQ","BEST_FPERIOD_OVERRIDE=FQ","FILING_STATUS=OR","SCALING_FORMAT=MLN","Sort=A","Dates=H","DateFormat=P","Fill=—","Direction=H","UseDPDF=Y")</f>
        <v>6644</v>
      </c>
      <c r="L8" s="13">
        <f>_xll.BDH("XOM US Equity","BS_CASH_NEAR_CASH_ITEM","FQ4 2000","FQ4 2000","Currency=USD","Period=FQ","BEST_FPERIOD_OVERRIDE=FQ","FILING_STATUS=OR","SCALING_FORMAT=MLN","Sort=A","Dates=H","DateFormat=P","Fill=—","Direction=H","UseDPDF=Y")</f>
        <v>7080</v>
      </c>
      <c r="M8" s="13">
        <f>_xll.BDH("XOM US Equity","BS_CASH_NEAR_CASH_ITEM","FQ1 2001","FQ1 2001","Currency=USD","Period=FQ","BEST_FPERIOD_OVERRIDE=FQ","FILING_STATUS=OR","SCALING_FORMAT=MLN","Sort=A","Dates=H","DateFormat=P","Fill=—","Direction=H","UseDPDF=Y")</f>
        <v>10906</v>
      </c>
      <c r="N8" s="13">
        <f>_xll.BDH("XOM US Equity","BS_CASH_NEAR_CASH_ITEM","FQ2 2001","FQ2 2001","Currency=USD","Period=FQ","BEST_FPERIOD_OVERRIDE=FQ","FILING_STATUS=OR","SCALING_FORMAT=MLN","Sort=A","Dates=H","DateFormat=P","Fill=—","Direction=H","UseDPDF=Y")</f>
        <v>9298</v>
      </c>
      <c r="O8" s="13">
        <f>_xll.BDH("XOM US Equity","BS_CASH_NEAR_CASH_ITEM","FQ3 2001","FQ3 2001","Currency=USD","Period=FQ","BEST_FPERIOD_OVERRIDE=FQ","FILING_STATUS=OR","SCALING_FORMAT=MLN","Sort=A","Dates=H","DateFormat=P","Fill=—","Direction=H","UseDPDF=Y")</f>
        <v>9026</v>
      </c>
      <c r="P8" s="13">
        <f>_xll.BDH("XOM US Equity","BS_CASH_NEAR_CASH_ITEM","FQ4 2001","FQ4 2001","Currency=USD","Period=FQ","BEST_FPERIOD_OVERRIDE=FQ","FILING_STATUS=OR","SCALING_FORMAT=MLN","Sort=A","Dates=H","DateFormat=P","Fill=—","Direction=H","UseDPDF=Y")</f>
        <v>6547</v>
      </c>
      <c r="Q8" s="13">
        <f>_xll.BDH("XOM US Equity","BS_CASH_NEAR_CASH_ITEM","FQ1 2002","FQ1 2002","Currency=USD","Period=FQ","BEST_FPERIOD_OVERRIDE=FQ","FILING_STATUS=OR","SCALING_FORMAT=MLN","Sort=A","Dates=H","DateFormat=P","Fill=—","Direction=H","UseDPDF=Y")</f>
        <v>6622</v>
      </c>
      <c r="R8" s="13">
        <f>_xll.BDH("XOM US Equity","BS_CASH_NEAR_CASH_ITEM","FQ2 2002","FQ2 2002","Currency=USD","Period=FQ","BEST_FPERIOD_OVERRIDE=FQ","FILING_STATUS=OR","SCALING_FORMAT=MLN","Sort=A","Dates=H","DateFormat=P","Fill=—","Direction=H","UseDPDF=Y")</f>
        <v>5700</v>
      </c>
      <c r="S8" s="13">
        <f>_xll.BDH("XOM US Equity","BS_CASH_NEAR_CASH_ITEM","FQ3 2002","FQ3 2002","Currency=USD","Period=FQ","BEST_FPERIOD_OVERRIDE=FQ","FILING_STATUS=OR","SCALING_FORMAT=MLN","Sort=A","Dates=H","DateFormat=P","Fill=—","Direction=H","UseDPDF=Y")</f>
        <v>6937</v>
      </c>
      <c r="T8" s="13">
        <f>_xll.BDH("XOM US Equity","BS_CASH_NEAR_CASH_ITEM","FQ4 2002","FQ4 2002","Currency=USD","Period=FQ","BEST_FPERIOD_OVERRIDE=FQ","FILING_STATUS=OR","SCALING_FORMAT=MLN","Sort=A","Dates=H","DateFormat=P","Fill=—","Direction=H","UseDPDF=Y")</f>
        <v>7229</v>
      </c>
      <c r="U8" s="13">
        <f>_xll.BDH("XOM US Equity","BS_CASH_NEAR_CASH_ITEM","FQ1 2003","FQ1 2003","Currency=USD","Period=FQ","BEST_FPERIOD_OVERRIDE=FQ","FILING_STATUS=OR","SCALING_FORMAT=MLN","Sort=A","Dates=H","DateFormat=P","Fill=—","Direction=H","UseDPDF=Y")</f>
        <v>12328</v>
      </c>
      <c r="V8" s="13">
        <f>_xll.BDH("XOM US Equity","BS_CASH_NEAR_CASH_ITEM","FQ2 2003","FQ2 2003","Currency=USD","Period=FQ","BEST_FPERIOD_OVERRIDE=FQ","FILING_STATUS=OR","SCALING_FORMAT=MLN","Sort=A","Dates=H","DateFormat=P","Fill=—","Direction=H","UseDPDF=Y")</f>
        <v>12521</v>
      </c>
      <c r="W8" s="13">
        <f>_xll.BDH("XOM US Equity","BS_CASH_NEAR_CASH_ITEM","FQ3 2003","FQ3 2003","Currency=USD","Period=FQ","BEST_FPERIOD_OVERRIDE=FQ","FILING_STATUS=OR","SCALING_FORMAT=MLN","Sort=A","Dates=H","DateFormat=P","Fill=—","Direction=H","UseDPDF=Y")</f>
        <v>11015</v>
      </c>
      <c r="X8" s="13">
        <f>_xll.BDH("XOM US Equity","BS_CASH_NEAR_CASH_ITEM","FQ4 2003","FQ4 2003","Currency=USD","Period=FQ","BEST_FPERIOD_OVERRIDE=FQ","FILING_STATUS=OR","SCALING_FORMAT=MLN","Sort=A","Dates=H","DateFormat=P","Fill=—","Direction=H","UseDPDF=Y")</f>
        <v>10626</v>
      </c>
      <c r="Y8" s="13">
        <f>_xll.BDH("XOM US Equity","BS_CASH_NEAR_CASH_ITEM","FQ1 2004","FQ1 2004","Currency=USD","Period=FQ","BEST_FPERIOD_OVERRIDE=FQ","FILING_STATUS=OR","SCALING_FORMAT=MLN","Sort=A","Dates=H","DateFormat=P","Fill=—","Direction=H","UseDPDF=Y")</f>
        <v>15894</v>
      </c>
      <c r="Z8" s="13">
        <f>_xll.BDH("XOM US Equity","BS_CASH_NEAR_CASH_ITEM","FQ2 2004","FQ2 2004","Currency=USD","Period=FQ","BEST_FPERIOD_OVERRIDE=FQ","FILING_STATUS=OR","SCALING_FORMAT=MLN","Sort=A","Dates=H","DateFormat=P","Fill=—","Direction=H","UseDPDF=Y")</f>
        <v>14177</v>
      </c>
      <c r="AA8" s="13">
        <f>_xll.BDH("XOM US Equity","BS_CASH_NEAR_CASH_ITEM","FQ3 2004","FQ3 2004","Currency=USD","Period=FQ","BEST_FPERIOD_OVERRIDE=FQ","FILING_STATUS=OR","SCALING_FORMAT=MLN","Sort=A","Dates=H","DateFormat=P","Fill=—","Direction=H","UseDPDF=Y")</f>
        <v>16108</v>
      </c>
      <c r="AB8" s="13">
        <f>_xll.BDH("XOM US Equity","BS_CASH_NEAR_CASH_ITEM","FQ4 2004","FQ4 2004","Currency=USD","Period=FQ","BEST_FPERIOD_OVERRIDE=FQ","FILING_STATUS=OR","SCALING_FORMAT=MLN","Sort=A","Dates=H","DateFormat=P","Fill=—","Direction=H","UseDPDF=Y")</f>
        <v>18531</v>
      </c>
      <c r="AC8" s="13">
        <f>_xll.BDH("XOM US Equity","BS_CASH_NEAR_CASH_ITEM","FQ1 2005","FQ1 2005","Currency=USD","Period=FQ","BEST_FPERIOD_OVERRIDE=FQ","FILING_STATUS=OR","SCALING_FORMAT=MLN","Sort=A","Dates=H","DateFormat=P","Fill=—","Direction=H","UseDPDF=Y")</f>
        <v>25165</v>
      </c>
      <c r="AD8" s="13">
        <f>_xll.BDH("XOM US Equity","BS_CASH_NEAR_CASH_ITEM","FQ2 2005","FQ2 2005","Currency=USD","Period=FQ","BEST_FPERIOD_OVERRIDE=FQ","FILING_STATUS=OR","SCALING_FORMAT=MLN","Sort=A","Dates=H","DateFormat=P","Fill=—","Direction=H","UseDPDF=Y")</f>
        <v>25648</v>
      </c>
      <c r="AE8" s="13">
        <f>_xll.BDH("XOM US Equity","BS_CASH_NEAR_CASH_ITEM","FQ3 2005","FQ3 2005","Currency=USD","Period=FQ","BEST_FPERIOD_OVERRIDE=FQ","FILING_STATUS=OR","SCALING_FORMAT=MLN","Sort=A","Dates=H","DateFormat=P","Fill=—","Direction=H","UseDPDF=Y")</f>
        <v>29240</v>
      </c>
      <c r="AF8" s="13">
        <f>_xll.BDH("XOM US Equity","BS_CASH_NEAR_CASH_ITEM","FQ4 2005","FQ4 2005","Currency=USD","Period=FQ","BEST_FPERIOD_OVERRIDE=FQ","FILING_STATUS=OR","SCALING_FORMAT=MLN","Sort=A","Dates=H","DateFormat=P","Fill=—","Direction=H","UseDPDF=Y")</f>
        <v>28671</v>
      </c>
      <c r="AG8" s="13">
        <f>_xll.BDH("XOM US Equity","BS_CASH_NEAR_CASH_ITEM","FQ1 2006","FQ1 2006","Currency=USD","Period=FQ","BEST_FPERIOD_OVERRIDE=FQ","FILING_STATUS=OR","SCALING_FORMAT=MLN","Sort=A","Dates=H","DateFormat=P","Fill=—","Direction=H","UseDPDF=Y")</f>
        <v>31945</v>
      </c>
      <c r="AH8" s="13">
        <f>_xll.BDH("XOM US Equity","BS_CASH_NEAR_CASH_ITEM","FQ2 2006","FQ2 2006","Currency=USD","Period=FQ","BEST_FPERIOD_OVERRIDE=FQ","FILING_STATUS=OR","SCALING_FORMAT=MLN","Sort=A","Dates=H","DateFormat=P","Fill=—","Direction=H","UseDPDF=Y")</f>
        <v>32113</v>
      </c>
      <c r="AI8" s="13">
        <f>_xll.BDH("XOM US Equity","BS_CASH_NEAR_CASH_ITEM","FQ3 2006","FQ3 2006","Currency=USD","Period=FQ","BEST_FPERIOD_OVERRIDE=FQ","FILING_STATUS=OR","SCALING_FORMAT=MLN","Sort=A","Dates=H","DateFormat=P","Fill=—","Direction=H","UseDPDF=Y")</f>
        <v>32734</v>
      </c>
      <c r="AJ8" s="13">
        <f>_xll.BDH("XOM US Equity","BS_CASH_NEAR_CASH_ITEM","FQ4 2006","FQ4 2006","Currency=USD","Period=FQ","BEST_FPERIOD_OVERRIDE=FQ","FILING_STATUS=OR","SCALING_FORMAT=MLN","Sort=A","Dates=H","DateFormat=P","Fill=—","Direction=H","UseDPDF=Y")</f>
        <v>28244</v>
      </c>
      <c r="AK8" s="13">
        <f>_xll.BDH("XOM US Equity","BS_CASH_NEAR_CASH_ITEM","FQ1 2007","FQ1 2007","Currency=USD","Period=FQ","BEST_FPERIOD_OVERRIDE=FQ","FILING_STATUS=OR","SCALING_FORMAT=MLN","Sort=A","Dates=H","DateFormat=P","Fill=—","Direction=H","UseDPDF=Y")</f>
        <v>29994</v>
      </c>
      <c r="AL8" s="13">
        <f>_xll.BDH("XOM US Equity","BS_CASH_NEAR_CASH_ITEM","FQ2 2007","FQ2 2007","Currency=USD","Period=FQ","BEST_FPERIOD_OVERRIDE=FQ","FILING_STATUS=OR","SCALING_FORMAT=MLN","Sort=A","Dates=H","DateFormat=P","Fill=—","Direction=H","UseDPDF=Y")</f>
        <v>28959</v>
      </c>
      <c r="AM8" s="13">
        <f>_xll.BDH("XOM US Equity","BS_CASH_NEAR_CASH_ITEM","FQ3 2007","FQ3 2007","Currency=USD","Period=FQ","BEST_FPERIOD_OVERRIDE=FQ","FILING_STATUS=OR","SCALING_FORMAT=MLN","Sort=A","Dates=H","DateFormat=P","Fill=—","Direction=H","UseDPDF=Y")</f>
        <v>31423</v>
      </c>
      <c r="AN8" s="13">
        <f>_xll.BDH("XOM US Equity","BS_CASH_NEAR_CASH_ITEM","FQ4 2007","FQ4 2007","Currency=USD","Period=FQ","BEST_FPERIOD_OVERRIDE=FQ","FILING_STATUS=OR","SCALING_FORMAT=MLN","Sort=A","Dates=H","DateFormat=P","Fill=—","Direction=H","UseDPDF=Y")</f>
        <v>33981</v>
      </c>
      <c r="AO8" s="13">
        <f>_xll.BDH("XOM US Equity","BS_CASH_NEAR_CASH_ITEM","FQ1 2008","FQ1 2008","Currency=USD","Period=FQ","BEST_FPERIOD_OVERRIDE=FQ","FILING_STATUS=OR","SCALING_FORMAT=MLN","Sort=A","Dates=H","DateFormat=P","Fill=—","Direction=H","UseDPDF=Y")</f>
        <v>40913</v>
      </c>
      <c r="AP8" s="13">
        <f>_xll.BDH("XOM US Equity","BS_CASH_NEAR_CASH_ITEM","FQ2 2008","FQ2 2008","Currency=USD","Period=FQ","BEST_FPERIOD_OVERRIDE=FQ","FILING_STATUS=OR","SCALING_FORMAT=MLN","Sort=A","Dates=H","DateFormat=P","Fill=—","Direction=H","UseDPDF=Y")</f>
        <v>38968</v>
      </c>
    </row>
    <row r="9" spans="1:42" x14ac:dyDescent="0.25">
      <c r="A9" s="10" t="s">
        <v>181</v>
      </c>
      <c r="B9" s="10" t="s">
        <v>182</v>
      </c>
      <c r="C9" s="13">
        <f>_xll.BDH("XOM US Equity","BS_MKT_SEC_OTHER_ST_INVEST","FQ3 1998","FQ3 1998","Currency=USD","Period=FQ","BEST_FPERIOD_OVERRIDE=FQ","FILING_STATUS=OR","SCALING_FORMAT=MLN","Sort=A","Dates=H","DateFormat=P","Fill=—","Direction=H","UseDPDF=Y")</f>
        <v>108</v>
      </c>
      <c r="D9" s="13">
        <f>_xll.BDH("XOM US Equity","BS_MKT_SEC_OTHER_ST_INVEST","FQ4 1998","FQ4 1998","Currency=USD","Period=FQ","BEST_FPERIOD_OVERRIDE=FQ","FILING_STATUS=OR","SCALING_FORMAT=MLN","Sort=A","Dates=H","DateFormat=P","Fill=—","Direction=H","UseDPDF=Y")</f>
        <v>20</v>
      </c>
      <c r="E9" s="13">
        <f>_xll.BDH("XOM US Equity","BS_MKT_SEC_OTHER_ST_INVEST","FQ1 1999","FQ1 1999","Currency=USD","Period=FQ","BEST_FPERIOD_OVERRIDE=FQ","FILING_STATUS=OR","SCALING_FORMAT=MLN","Sort=A","Dates=H","DateFormat=P","Fill=—","Direction=H","UseDPDF=Y")</f>
        <v>20</v>
      </c>
      <c r="F9" s="13">
        <f>_xll.BDH("XOM US Equity","BS_MKT_SEC_OTHER_ST_INVEST","FQ2 1999","FQ2 1999","Currency=USD","Period=FQ","BEST_FPERIOD_OVERRIDE=FQ","FILING_STATUS=OR","SCALING_FORMAT=MLN","Sort=A","Dates=H","DateFormat=P","Fill=—","Direction=H","UseDPDF=Y")</f>
        <v>20</v>
      </c>
      <c r="G9" s="13">
        <f>_xll.BDH("XOM US Equity","BS_MKT_SEC_OTHER_ST_INVEST","FQ3 1999","FQ3 1999","Currency=USD","Period=FQ","BEST_FPERIOD_OVERRIDE=FQ","FILING_STATUS=OR","SCALING_FORMAT=MLN","Sort=A","Dates=H","DateFormat=P","Fill=—","Direction=H","UseDPDF=Y")</f>
        <v>39</v>
      </c>
      <c r="H9" s="13">
        <f>_xll.BDH("XOM US Equity","BS_MKT_SEC_OTHER_ST_INVEST","FQ4 1999","FQ4 1999","Currency=USD","Period=FQ","BEST_FPERIOD_OVERRIDE=FQ","FILING_STATUS=OR","SCALING_FORMAT=MLN","Sort=A","Dates=H","DateFormat=P","Fill=—","Direction=H","UseDPDF=Y")</f>
        <v>73</v>
      </c>
      <c r="I9" s="13">
        <f>_xll.BDH("XOM US Equity","BS_MKT_SEC_OTHER_ST_INVEST","FQ1 2000","FQ1 2000","Currency=USD","Period=FQ","BEST_FPERIOD_OVERRIDE=FQ","FILING_STATUS=OR","SCALING_FORMAT=MLN","Sort=A","Dates=H","DateFormat=P","Fill=—","Direction=H","UseDPDF=Y")</f>
        <v>57</v>
      </c>
      <c r="J9" s="13">
        <f>_xll.BDH("XOM US Equity","BS_MKT_SEC_OTHER_ST_INVEST","FQ2 2000","FQ2 2000","Currency=USD","Period=FQ","BEST_FPERIOD_OVERRIDE=FQ","FILING_STATUS=OR","SCALING_FORMAT=MLN","Sort=A","Dates=H","DateFormat=P","Fill=—","Direction=H","UseDPDF=Y")</f>
        <v>50</v>
      </c>
      <c r="K9" s="13">
        <f>_xll.BDH("XOM US Equity","BS_MKT_SEC_OTHER_ST_INVEST","FQ3 2000","FQ3 2000","Currency=USD","Period=FQ","BEST_FPERIOD_OVERRIDE=FQ","FILING_STATUS=OR","SCALING_FORMAT=MLN","Sort=A","Dates=H","DateFormat=P","Fill=—","Direction=H","UseDPDF=Y")</f>
        <v>2</v>
      </c>
      <c r="L9" s="13">
        <f>_xll.BDH("XOM US Equity","BS_MKT_SEC_OTHER_ST_INVEST","FQ4 2000","FQ4 2000","Currency=USD","Period=FQ","BEST_FPERIOD_OVERRIDE=FQ","FILING_STATUS=OR","SCALING_FORMAT=MLN","Sort=A","Dates=H","DateFormat=P","Fill=—","Direction=H","UseDPDF=Y")</f>
        <v>1</v>
      </c>
      <c r="M9" s="13" t="str">
        <f>_xll.BDH("XOM US Equity","BS_MKT_SEC_OTHER_ST_INVEST","FQ1 2001","FQ1 2001","Currency=USD","Period=FQ","BEST_FPERIOD_OVERRIDE=FQ","FILING_STATUS=OR","SCALING_FORMAT=MLN","Sort=A","Dates=H","DateFormat=P","Fill=—","Direction=H","UseDPDF=Y")</f>
        <v>—</v>
      </c>
      <c r="N9" s="13" t="str">
        <f>_xll.BDH("XOM US Equity","BS_MKT_SEC_OTHER_ST_INVEST","FQ2 2001","FQ2 2001","Currency=USD","Period=FQ","BEST_FPERIOD_OVERRIDE=FQ","FILING_STATUS=OR","SCALING_FORMAT=MLN","Sort=A","Dates=H","DateFormat=P","Fill=—","Direction=H","UseDPDF=Y")</f>
        <v>—</v>
      </c>
      <c r="O9" s="13" t="str">
        <f>_xll.BDH("XOM US Equity","BS_MKT_SEC_OTHER_ST_INVEST","FQ3 2001","FQ3 2001","Currency=USD","Period=FQ","BEST_FPERIOD_OVERRIDE=FQ","FILING_STATUS=OR","SCALING_FORMAT=MLN","Sort=A","Dates=H","DateFormat=P","Fill=—","Direction=H","UseDPDF=Y")</f>
        <v>—</v>
      </c>
      <c r="P9" s="13">
        <f>_xll.BDH("XOM US Equity","BS_MKT_SEC_OTHER_ST_INVEST","FQ4 2001","FQ4 2001","Currency=USD","Period=FQ","BEST_FPERIOD_OVERRIDE=FQ","FILING_STATUS=OR","SCALING_FORMAT=MLN","Sort=A","Dates=H","DateFormat=P","Fill=—","Direction=H","UseDPDF=Y")</f>
        <v>0</v>
      </c>
      <c r="Q9" s="13">
        <f>_xll.BDH("XOM US Equity","BS_MKT_SEC_OTHER_ST_INVEST","FQ1 2002","FQ1 2002","Currency=USD","Period=FQ","BEST_FPERIOD_OVERRIDE=FQ","FILING_STATUS=OR","SCALING_FORMAT=MLN","Sort=A","Dates=H","DateFormat=P","Fill=—","Direction=H","UseDPDF=Y")</f>
        <v>0</v>
      </c>
      <c r="R9" s="13">
        <f>_xll.BDH("XOM US Equity","BS_MKT_SEC_OTHER_ST_INVEST","FQ2 2002","FQ2 2002","Currency=USD","Period=FQ","BEST_FPERIOD_OVERRIDE=FQ","FILING_STATUS=OR","SCALING_FORMAT=MLN","Sort=A","Dates=H","DateFormat=P","Fill=—","Direction=H","UseDPDF=Y")</f>
        <v>0</v>
      </c>
      <c r="S9" s="13">
        <f>_xll.BDH("XOM US Equity","BS_MKT_SEC_OTHER_ST_INVEST","FQ3 2002","FQ3 2002","Currency=USD","Period=FQ","BEST_FPERIOD_OVERRIDE=FQ","FILING_STATUS=OR","SCALING_FORMAT=MLN","Sort=A","Dates=H","DateFormat=P","Fill=—","Direction=H","UseDPDF=Y")</f>
        <v>0</v>
      </c>
      <c r="T9" s="13">
        <f>_xll.BDH("XOM US Equity","BS_MKT_SEC_OTHER_ST_INVEST","FQ4 2002","FQ4 2002","Currency=USD","Period=FQ","BEST_FPERIOD_OVERRIDE=FQ","FILING_STATUS=OR","SCALING_FORMAT=MLN","Sort=A","Dates=H","DateFormat=P","Fill=—","Direction=H","UseDPDF=Y")</f>
        <v>0</v>
      </c>
      <c r="U9" s="13">
        <f>_xll.BDH("XOM US Equity","BS_MKT_SEC_OTHER_ST_INVEST","FQ1 2003","FQ1 2003","Currency=USD","Period=FQ","BEST_FPERIOD_OVERRIDE=FQ","FILING_STATUS=OR","SCALING_FORMAT=MLN","Sort=A","Dates=H","DateFormat=P","Fill=—","Direction=H","UseDPDF=Y")</f>
        <v>0</v>
      </c>
      <c r="V9" s="13">
        <f>_xll.BDH("XOM US Equity","BS_MKT_SEC_OTHER_ST_INVEST","FQ2 2003","FQ2 2003","Currency=USD","Period=FQ","BEST_FPERIOD_OVERRIDE=FQ","FILING_STATUS=OR","SCALING_FORMAT=MLN","Sort=A","Dates=H","DateFormat=P","Fill=—","Direction=H","UseDPDF=Y")</f>
        <v>0</v>
      </c>
      <c r="W9" s="13">
        <f>_xll.BDH("XOM US Equity","BS_MKT_SEC_OTHER_ST_INVEST","FQ3 2003","FQ3 2003","Currency=USD","Period=FQ","BEST_FPERIOD_OVERRIDE=FQ","FILING_STATUS=OR","SCALING_FORMAT=MLN","Sort=A","Dates=H","DateFormat=P","Fill=—","Direction=H","UseDPDF=Y")</f>
        <v>0</v>
      </c>
      <c r="X9" s="13">
        <f>_xll.BDH("XOM US Equity","BS_MKT_SEC_OTHER_ST_INVEST","FQ4 2003","FQ4 2003","Currency=USD","Period=FQ","BEST_FPERIOD_OVERRIDE=FQ","FILING_STATUS=OR","SCALING_FORMAT=MLN","Sort=A","Dates=H","DateFormat=P","Fill=—","Direction=H","UseDPDF=Y")</f>
        <v>0</v>
      </c>
      <c r="Y9" s="13">
        <f>_xll.BDH("XOM US Equity","BS_MKT_SEC_OTHER_ST_INVEST","FQ1 2004","FQ1 2004","Currency=USD","Period=FQ","BEST_FPERIOD_OVERRIDE=FQ","FILING_STATUS=OR","SCALING_FORMAT=MLN","Sort=A","Dates=H","DateFormat=P","Fill=—","Direction=H","UseDPDF=Y")</f>
        <v>0</v>
      </c>
      <c r="Z9" s="13">
        <f>_xll.BDH("XOM US Equity","BS_MKT_SEC_OTHER_ST_INVEST","FQ2 2004","FQ2 2004","Currency=USD","Period=FQ","BEST_FPERIOD_OVERRIDE=FQ","FILING_STATUS=OR","SCALING_FORMAT=MLN","Sort=A","Dates=H","DateFormat=P","Fill=—","Direction=H","UseDPDF=Y")</f>
        <v>0</v>
      </c>
      <c r="AA9" s="13">
        <f>_xll.BDH("XOM US Equity","BS_MKT_SEC_OTHER_ST_INVEST","FQ3 2004","FQ3 2004","Currency=USD","Period=FQ","BEST_FPERIOD_OVERRIDE=FQ","FILING_STATUS=OR","SCALING_FORMAT=MLN","Sort=A","Dates=H","DateFormat=P","Fill=—","Direction=H","UseDPDF=Y")</f>
        <v>0</v>
      </c>
      <c r="AB9" s="13">
        <f>_xll.BDH("XOM US Equity","BS_MKT_SEC_OTHER_ST_INVEST","FQ4 2004","FQ4 2004","Currency=USD","Period=FQ","BEST_FPERIOD_OVERRIDE=FQ","FILING_STATUS=OR","SCALING_FORMAT=MLN","Sort=A","Dates=H","DateFormat=P","Fill=—","Direction=H","UseDPDF=Y")</f>
        <v>0</v>
      </c>
      <c r="AC9" s="13">
        <f>_xll.BDH("XOM US Equity","BS_MKT_SEC_OTHER_ST_INVEST","FQ1 2005","FQ1 2005","Currency=USD","Period=FQ","BEST_FPERIOD_OVERRIDE=FQ","FILING_STATUS=OR","SCALING_FORMAT=MLN","Sort=A","Dates=H","DateFormat=P","Fill=—","Direction=H","UseDPDF=Y")</f>
        <v>0</v>
      </c>
      <c r="AD9" s="13">
        <f>_xll.BDH("XOM US Equity","BS_MKT_SEC_OTHER_ST_INVEST","FQ2 2005","FQ2 2005","Currency=USD","Period=FQ","BEST_FPERIOD_OVERRIDE=FQ","FILING_STATUS=OR","SCALING_FORMAT=MLN","Sort=A","Dates=H","DateFormat=P","Fill=—","Direction=H","UseDPDF=Y")</f>
        <v>0</v>
      </c>
      <c r="AE9" s="13">
        <f>_xll.BDH("XOM US Equity","BS_MKT_SEC_OTHER_ST_INVEST","FQ3 2005","FQ3 2005","Currency=USD","Period=FQ","BEST_FPERIOD_OVERRIDE=FQ","FILING_STATUS=OR","SCALING_FORMAT=MLN","Sort=A","Dates=H","DateFormat=P","Fill=—","Direction=H","UseDPDF=Y")</f>
        <v>0</v>
      </c>
      <c r="AF9" s="13">
        <f>_xll.BDH("XOM US Equity","BS_MKT_SEC_OTHER_ST_INVEST","FQ4 2005","FQ4 2005","Currency=USD","Period=FQ","BEST_FPERIOD_OVERRIDE=FQ","FILING_STATUS=OR","SCALING_FORMAT=MLN","Sort=A","Dates=H","DateFormat=P","Fill=—","Direction=H","UseDPDF=Y")</f>
        <v>0</v>
      </c>
      <c r="AG9" s="13">
        <f>_xll.BDH("XOM US Equity","BS_MKT_SEC_OTHER_ST_INVEST","FQ1 2006","FQ1 2006","Currency=USD","Period=FQ","BEST_FPERIOD_OVERRIDE=FQ","FILING_STATUS=OR","SCALING_FORMAT=MLN","Sort=A","Dates=H","DateFormat=P","Fill=—","Direction=H","UseDPDF=Y")</f>
        <v>0</v>
      </c>
      <c r="AH9" s="13">
        <f>_xll.BDH("XOM US Equity","BS_MKT_SEC_OTHER_ST_INVEST","FQ2 2006","FQ2 2006","Currency=USD","Period=FQ","BEST_FPERIOD_OVERRIDE=FQ","FILING_STATUS=OR","SCALING_FORMAT=MLN","Sort=A","Dates=H","DateFormat=P","Fill=—","Direction=H","UseDPDF=Y")</f>
        <v>0</v>
      </c>
      <c r="AI9" s="13">
        <f>_xll.BDH("XOM US Equity","BS_MKT_SEC_OTHER_ST_INVEST","FQ3 2006","FQ3 2006","Currency=USD","Period=FQ","BEST_FPERIOD_OVERRIDE=FQ","FILING_STATUS=OR","SCALING_FORMAT=MLN","Sort=A","Dates=H","DateFormat=P","Fill=—","Direction=H","UseDPDF=Y")</f>
        <v>0</v>
      </c>
      <c r="AJ9" s="13">
        <f>_xll.BDH("XOM US Equity","BS_MKT_SEC_OTHER_ST_INVEST","FQ4 2006","FQ4 2006","Currency=USD","Period=FQ","BEST_FPERIOD_OVERRIDE=FQ","FILING_STATUS=OR","SCALING_FORMAT=MLN","Sort=A","Dates=H","DateFormat=P","Fill=—","Direction=H","UseDPDF=Y")</f>
        <v>0</v>
      </c>
      <c r="AK9" s="13">
        <f>_xll.BDH("XOM US Equity","BS_MKT_SEC_OTHER_ST_INVEST","FQ1 2007","FQ1 2007","Currency=USD","Period=FQ","BEST_FPERIOD_OVERRIDE=FQ","FILING_STATUS=OR","SCALING_FORMAT=MLN","Sort=A","Dates=H","DateFormat=P","Fill=—","Direction=H","UseDPDF=Y")</f>
        <v>0</v>
      </c>
      <c r="AL9" s="13">
        <f>_xll.BDH("XOM US Equity","BS_MKT_SEC_OTHER_ST_INVEST","FQ2 2007","FQ2 2007","Currency=USD","Period=FQ","BEST_FPERIOD_OVERRIDE=FQ","FILING_STATUS=OR","SCALING_FORMAT=MLN","Sort=A","Dates=H","DateFormat=P","Fill=—","Direction=H","UseDPDF=Y")</f>
        <v>0</v>
      </c>
      <c r="AM9" s="13">
        <f>_xll.BDH("XOM US Equity","BS_MKT_SEC_OTHER_ST_INVEST","FQ3 2007","FQ3 2007","Currency=USD","Period=FQ","BEST_FPERIOD_OVERRIDE=FQ","FILING_STATUS=OR","SCALING_FORMAT=MLN","Sort=A","Dates=H","DateFormat=P","Fill=—","Direction=H","UseDPDF=Y")</f>
        <v>190</v>
      </c>
      <c r="AN9" s="13">
        <f>_xll.BDH("XOM US Equity","BS_MKT_SEC_OTHER_ST_INVEST","FQ4 2007","FQ4 2007","Currency=USD","Period=FQ","BEST_FPERIOD_OVERRIDE=FQ","FILING_STATUS=OR","SCALING_FORMAT=MLN","Sort=A","Dates=H","DateFormat=P","Fill=—","Direction=H","UseDPDF=Y")</f>
        <v>519</v>
      </c>
      <c r="AO9" s="13">
        <f>_xll.BDH("XOM US Equity","BS_MKT_SEC_OTHER_ST_INVEST","FQ1 2008","FQ1 2008","Currency=USD","Period=FQ","BEST_FPERIOD_OVERRIDE=FQ","FILING_STATUS=OR","SCALING_FORMAT=MLN","Sort=A","Dates=H","DateFormat=P","Fill=—","Direction=H","UseDPDF=Y")</f>
        <v>480</v>
      </c>
      <c r="AP9" s="13">
        <f>_xll.BDH("XOM US Equity","BS_MKT_SEC_OTHER_ST_INVEST","FQ2 2008","FQ2 2008","Currency=USD","Period=FQ","BEST_FPERIOD_OVERRIDE=FQ","FILING_STATUS=OR","SCALING_FORMAT=MLN","Sort=A","Dates=H","DateFormat=P","Fill=—","Direction=H","UseDPDF=Y")</f>
        <v>732</v>
      </c>
    </row>
    <row r="10" spans="1:42" x14ac:dyDescent="0.25">
      <c r="A10" s="10" t="s">
        <v>183</v>
      </c>
      <c r="B10" s="10" t="s">
        <v>184</v>
      </c>
      <c r="C10" s="13">
        <f>_xll.BDH("XOM US Equity","BS_ACCT_NOTE_RCV","FQ3 1998","FQ3 1998","Currency=USD","Period=FQ","BEST_FPERIOD_OVERRIDE=FQ","FILING_STATUS=OR","SCALING_FORMAT=MLN","Sort=A","Dates=H","DateFormat=P","Fill=—","Direction=H","UseDPDF=Y")</f>
        <v>9293</v>
      </c>
      <c r="D10" s="13">
        <f>_xll.BDH("XOM US Equity","BS_ACCT_NOTE_RCV","FQ4 1998","FQ4 1998","Currency=USD","Period=FQ","BEST_FPERIOD_OVERRIDE=FQ","FILING_STATUS=OR","SCALING_FORMAT=MLN","Sort=A","Dates=H","DateFormat=P","Fill=—","Direction=H","UseDPDF=Y")</f>
        <v>9512</v>
      </c>
      <c r="E10" s="13">
        <f>_xll.BDH("XOM US Equity","BS_ACCT_NOTE_RCV","FQ1 1999","FQ1 1999","Currency=USD","Period=FQ","BEST_FPERIOD_OVERRIDE=FQ","FILING_STATUS=OR","SCALING_FORMAT=MLN","Sort=A","Dates=H","DateFormat=P","Fill=—","Direction=H","UseDPDF=Y")</f>
        <v>9161</v>
      </c>
      <c r="F10" s="13">
        <f>_xll.BDH("XOM US Equity","BS_ACCT_NOTE_RCV","FQ2 1999","FQ2 1999","Currency=USD","Period=FQ","BEST_FPERIOD_OVERRIDE=FQ","FILING_STATUS=OR","SCALING_FORMAT=MLN","Sort=A","Dates=H","DateFormat=P","Fill=—","Direction=H","UseDPDF=Y")</f>
        <v>9107</v>
      </c>
      <c r="G10" s="13">
        <f>_xll.BDH("XOM US Equity","BS_ACCT_NOTE_RCV","FQ3 1999","FQ3 1999","Currency=USD","Period=FQ","BEST_FPERIOD_OVERRIDE=FQ","FILING_STATUS=OR","SCALING_FORMAT=MLN","Sort=A","Dates=H","DateFormat=P","Fill=—","Direction=H","UseDPDF=Y")</f>
        <v>10778</v>
      </c>
      <c r="H10" s="13">
        <f>_xll.BDH("XOM US Equity","BS_ACCT_NOTE_RCV","FQ4 1999","FQ4 1999","Currency=USD","Period=FQ","BEST_FPERIOD_OVERRIDE=FQ","FILING_STATUS=OR","SCALING_FORMAT=MLN","Sort=A","Dates=H","DateFormat=P","Fill=—","Direction=H","UseDPDF=Y")</f>
        <v>19155</v>
      </c>
      <c r="I10" s="13">
        <f>_xll.BDH("XOM US Equity","BS_ACCT_NOTE_RCV","FQ1 2000","FQ1 2000","Currency=USD","Period=FQ","BEST_FPERIOD_OVERRIDE=FQ","FILING_STATUS=OR","SCALING_FORMAT=MLN","Sort=A","Dates=H","DateFormat=P","Fill=—","Direction=H","UseDPDF=Y")</f>
        <v>19083</v>
      </c>
      <c r="J10" s="13">
        <f>_xll.BDH("XOM US Equity","BS_ACCT_NOTE_RCV","FQ2 2000","FQ2 2000","Currency=USD","Period=FQ","BEST_FPERIOD_OVERRIDE=FQ","FILING_STATUS=OR","SCALING_FORMAT=MLN","Sort=A","Dates=H","DateFormat=P","Fill=—","Direction=H","UseDPDF=Y")</f>
        <v>20285</v>
      </c>
      <c r="K10" s="13">
        <f>_xll.BDH("XOM US Equity","BS_ACCT_NOTE_RCV","FQ3 2000","FQ3 2000","Currency=USD","Period=FQ","BEST_FPERIOD_OVERRIDE=FQ","FILING_STATUS=OR","SCALING_FORMAT=MLN","Sort=A","Dates=H","DateFormat=P","Fill=—","Direction=H","UseDPDF=Y")</f>
        <v>21601</v>
      </c>
      <c r="L10" s="13">
        <f>_xll.BDH("XOM US Equity","BS_ACCT_NOTE_RCV","FQ4 2000","FQ4 2000","Currency=USD","Period=FQ","BEST_FPERIOD_OVERRIDE=FQ","FILING_STATUS=OR","SCALING_FORMAT=MLN","Sort=A","Dates=H","DateFormat=P","Fill=—","Direction=H","UseDPDF=Y")</f>
        <v>22996</v>
      </c>
      <c r="M10" s="13">
        <f>_xll.BDH("XOM US Equity","BS_ACCT_NOTE_RCV","FQ1 2001","FQ1 2001","Currency=USD","Period=FQ","BEST_FPERIOD_OVERRIDE=FQ","FILING_STATUS=OR","SCALING_FORMAT=MLN","Sort=A","Dates=H","DateFormat=P","Fill=—","Direction=H","UseDPDF=Y")</f>
        <v>21117</v>
      </c>
      <c r="N10" s="13">
        <f>_xll.BDH("XOM US Equity","BS_ACCT_NOTE_RCV","FQ2 2001","FQ2 2001","Currency=USD","Period=FQ","BEST_FPERIOD_OVERRIDE=FQ","FILING_STATUS=OR","SCALING_FORMAT=MLN","Sort=A","Dates=H","DateFormat=P","Fill=—","Direction=H","UseDPDF=Y")</f>
        <v>21409</v>
      </c>
      <c r="O10" s="13">
        <f>_xll.BDH("XOM US Equity","BS_ACCT_NOTE_RCV","FQ3 2001","FQ3 2001","Currency=USD","Period=FQ","BEST_FPERIOD_OVERRIDE=FQ","FILING_STATUS=OR","SCALING_FORMAT=MLN","Sort=A","Dates=H","DateFormat=P","Fill=—","Direction=H","UseDPDF=Y")</f>
        <v>20512</v>
      </c>
      <c r="P10" s="13">
        <f>_xll.BDH("XOM US Equity","BS_ACCT_NOTE_RCV","FQ4 2001","FQ4 2001","Currency=USD","Period=FQ","BEST_FPERIOD_OVERRIDE=FQ","FILING_STATUS=OR","SCALING_FORMAT=MLN","Sort=A","Dates=H","DateFormat=P","Fill=—","Direction=H","UseDPDF=Y")</f>
        <v>19549</v>
      </c>
      <c r="Q10" s="13">
        <f>_xll.BDH("XOM US Equity","BS_ACCT_NOTE_RCV","FQ1 2002","FQ1 2002","Currency=USD","Period=FQ","BEST_FPERIOD_OVERRIDE=FQ","FILING_STATUS=OR","SCALING_FORMAT=MLN","Sort=A","Dates=H","DateFormat=P","Fill=—","Direction=H","UseDPDF=Y")</f>
        <v>18640</v>
      </c>
      <c r="R10" s="13">
        <f>_xll.BDH("XOM US Equity","BS_ACCT_NOTE_RCV","FQ2 2002","FQ2 2002","Currency=USD","Period=FQ","BEST_FPERIOD_OVERRIDE=FQ","FILING_STATUS=OR","SCALING_FORMAT=MLN","Sort=A","Dates=H","DateFormat=P","Fill=—","Direction=H","UseDPDF=Y")</f>
        <v>19584</v>
      </c>
      <c r="S10" s="13">
        <f>_xll.BDH("XOM US Equity","BS_ACCT_NOTE_RCV","FQ3 2002","FQ3 2002","Currency=USD","Period=FQ","BEST_FPERIOD_OVERRIDE=FQ","FILING_STATUS=OR","SCALING_FORMAT=MLN","Sort=A","Dates=H","DateFormat=P","Fill=—","Direction=H","UseDPDF=Y")</f>
        <v>18699</v>
      </c>
      <c r="T10" s="13">
        <f>_xll.BDH("XOM US Equity","BS_ACCT_NOTE_RCV","FQ4 2002","FQ4 2002","Currency=USD","Period=FQ","BEST_FPERIOD_OVERRIDE=FQ","FILING_STATUS=OR","SCALING_FORMAT=MLN","Sort=A","Dates=H","DateFormat=P","Fill=—","Direction=H","UseDPDF=Y")</f>
        <v>21163</v>
      </c>
      <c r="U10" s="13">
        <f>_xll.BDH("XOM US Equity","BS_ACCT_NOTE_RCV","FQ1 2003","FQ1 2003","Currency=USD","Period=FQ","BEST_FPERIOD_OVERRIDE=FQ","FILING_STATUS=OR","SCALING_FORMAT=MLN","Sort=A","Dates=H","DateFormat=P","Fill=—","Direction=H","UseDPDF=Y")</f>
        <v>22146</v>
      </c>
      <c r="V10" s="13">
        <f>_xll.BDH("XOM US Equity","BS_ACCT_NOTE_RCV","FQ2 2003","FQ2 2003","Currency=USD","Period=FQ","BEST_FPERIOD_OVERRIDE=FQ","FILING_STATUS=OR","SCALING_FORMAT=MLN","Sort=A","Dates=H","DateFormat=P","Fill=—","Direction=H","UseDPDF=Y")</f>
        <v>19471</v>
      </c>
      <c r="W10" s="13">
        <f>_xll.BDH("XOM US Equity","BS_ACCT_NOTE_RCV","FQ3 2003","FQ3 2003","Currency=USD","Period=FQ","BEST_FPERIOD_OVERRIDE=FQ","FILING_STATUS=OR","SCALING_FORMAT=MLN","Sort=A","Dates=H","DateFormat=P","Fill=—","Direction=H","UseDPDF=Y")</f>
        <v>20248</v>
      </c>
      <c r="X10" s="13">
        <f>_xll.BDH("XOM US Equity","BS_ACCT_NOTE_RCV","FQ4 2003","FQ4 2003","Currency=USD","Period=FQ","BEST_FPERIOD_OVERRIDE=FQ","FILING_STATUS=OR","SCALING_FORMAT=MLN","Sort=A","Dates=H","DateFormat=P","Fill=—","Direction=H","UseDPDF=Y")</f>
        <v>24309</v>
      </c>
      <c r="Y10" s="13">
        <f>_xll.BDH("XOM US Equity","BS_ACCT_NOTE_RCV","FQ1 2004","FQ1 2004","Currency=USD","Period=FQ","BEST_FPERIOD_OVERRIDE=FQ","FILING_STATUS=OR","SCALING_FORMAT=MLN","Sort=A","Dates=H","DateFormat=P","Fill=—","Direction=H","UseDPDF=Y")</f>
        <v>24189</v>
      </c>
      <c r="Z10" s="13">
        <f>_xll.BDH("XOM US Equity","BS_ACCT_NOTE_RCV","FQ2 2004","FQ2 2004","Currency=USD","Period=FQ","BEST_FPERIOD_OVERRIDE=FQ","FILING_STATUS=OR","SCALING_FORMAT=MLN","Sort=A","Dates=H","DateFormat=P","Fill=—","Direction=H","UseDPDF=Y")</f>
        <v>23089</v>
      </c>
      <c r="AA10" s="13">
        <f>_xll.BDH("XOM US Equity","BS_ACCT_NOTE_RCV","FQ3 2004","FQ3 2004","Currency=USD","Period=FQ","BEST_FPERIOD_OVERRIDE=FQ","FILING_STATUS=OR","SCALING_FORMAT=MLN","Sort=A","Dates=H","DateFormat=P","Fill=—","Direction=H","UseDPDF=Y")</f>
        <v>24506</v>
      </c>
      <c r="AB10" s="13">
        <f>_xll.BDH("XOM US Equity","BS_ACCT_NOTE_RCV","FQ4 2004","FQ4 2004","Currency=USD","Period=FQ","BEST_FPERIOD_OVERRIDE=FQ","FILING_STATUS=OR","SCALING_FORMAT=MLN","Sort=A","Dates=H","DateFormat=P","Fill=—","Direction=H","UseDPDF=Y")</f>
        <v>25359</v>
      </c>
      <c r="AC10" s="13">
        <f>_xll.BDH("XOM US Equity","BS_ACCT_NOTE_RCV","FQ1 2005","FQ1 2005","Currency=USD","Period=FQ","BEST_FPERIOD_OVERRIDE=FQ","FILING_STATUS=OR","SCALING_FORMAT=MLN","Sort=A","Dates=H","DateFormat=P","Fill=—","Direction=H","UseDPDF=Y")</f>
        <v>25489</v>
      </c>
      <c r="AD10" s="13">
        <f>_xll.BDH("XOM US Equity","BS_ACCT_NOTE_RCV","FQ2 2005","FQ2 2005","Currency=USD","Period=FQ","BEST_FPERIOD_OVERRIDE=FQ","FILING_STATUS=OR","SCALING_FORMAT=MLN","Sort=A","Dates=H","DateFormat=P","Fill=—","Direction=H","UseDPDF=Y")</f>
        <v>25716</v>
      </c>
      <c r="AE10" s="13">
        <f>_xll.BDH("XOM US Equity","BS_ACCT_NOTE_RCV","FQ3 2005","FQ3 2005","Currency=USD","Period=FQ","BEST_FPERIOD_OVERRIDE=FQ","FILING_STATUS=OR","SCALING_FORMAT=MLN","Sort=A","Dates=H","DateFormat=P","Fill=—","Direction=H","UseDPDF=Y")</f>
        <v>26193</v>
      </c>
      <c r="AF10" s="13">
        <f>_xll.BDH("XOM US Equity","BS_ACCT_NOTE_RCV","FQ4 2005","FQ4 2005","Currency=USD","Period=FQ","BEST_FPERIOD_OVERRIDE=FQ","FILING_STATUS=OR","SCALING_FORMAT=MLN","Sort=A","Dates=H","DateFormat=P","Fill=—","Direction=H","UseDPDF=Y")</f>
        <v>27484</v>
      </c>
      <c r="AG10" s="13">
        <f>_xll.BDH("XOM US Equity","BS_ACCT_NOTE_RCV","FQ1 2006","FQ1 2006","Currency=USD","Period=FQ","BEST_FPERIOD_OVERRIDE=FQ","FILING_STATUS=OR","SCALING_FORMAT=MLN","Sort=A","Dates=H","DateFormat=P","Fill=—","Direction=H","UseDPDF=Y")</f>
        <v>26962</v>
      </c>
      <c r="AH10" s="13">
        <f>_xll.BDH("XOM US Equity","BS_ACCT_NOTE_RCV","FQ2 2006","FQ2 2006","Currency=USD","Period=FQ","BEST_FPERIOD_OVERRIDE=FQ","FILING_STATUS=OR","SCALING_FORMAT=MLN","Sort=A","Dates=H","DateFormat=P","Fill=—","Direction=H","UseDPDF=Y")</f>
        <v>28607</v>
      </c>
      <c r="AI10" s="13">
        <f>_xll.BDH("XOM US Equity","BS_ACCT_NOTE_RCV","FQ3 2006","FQ3 2006","Currency=USD","Period=FQ","BEST_FPERIOD_OVERRIDE=FQ","FILING_STATUS=OR","SCALING_FORMAT=MLN","Sort=A","Dates=H","DateFormat=P","Fill=—","Direction=H","UseDPDF=Y")</f>
        <v>28390</v>
      </c>
      <c r="AJ10" s="13">
        <f>_xll.BDH("XOM US Equity","BS_ACCT_NOTE_RCV","FQ4 2006","FQ4 2006","Currency=USD","Period=FQ","BEST_FPERIOD_OVERRIDE=FQ","FILING_STATUS=OR","SCALING_FORMAT=MLN","Sort=A","Dates=H","DateFormat=P","Fill=—","Direction=H","UseDPDF=Y")</f>
        <v>28942</v>
      </c>
      <c r="AK10" s="13">
        <f>_xll.BDH("XOM US Equity","BS_ACCT_NOTE_RCV","FQ1 2007","FQ1 2007","Currency=USD","Period=FQ","BEST_FPERIOD_OVERRIDE=FQ","FILING_STATUS=OR","SCALING_FORMAT=MLN","Sort=A","Dates=H","DateFormat=P","Fill=—","Direction=H","UseDPDF=Y")</f>
        <v>27582</v>
      </c>
      <c r="AL10" s="13">
        <f>_xll.BDH("XOM US Equity","BS_ACCT_NOTE_RCV","FQ2 2007","FQ2 2007","Currency=USD","Period=FQ","BEST_FPERIOD_OVERRIDE=FQ","FILING_STATUS=OR","SCALING_FORMAT=MLN","Sort=A","Dates=H","DateFormat=P","Fill=—","Direction=H","UseDPDF=Y")</f>
        <v>30315</v>
      </c>
      <c r="AM10" s="13">
        <f>_xll.BDH("XOM US Equity","BS_ACCT_NOTE_RCV","FQ3 2007","FQ3 2007","Currency=USD","Period=FQ","BEST_FPERIOD_OVERRIDE=FQ","FILING_STATUS=OR","SCALING_FORMAT=MLN","Sort=A","Dates=H","DateFormat=P","Fill=—","Direction=H","UseDPDF=Y")</f>
        <v>31832</v>
      </c>
      <c r="AN10" s="13">
        <f>_xll.BDH("XOM US Equity","BS_ACCT_NOTE_RCV","FQ4 2007","FQ4 2007","Currency=USD","Period=FQ","BEST_FPERIOD_OVERRIDE=FQ","FILING_STATUS=OR","SCALING_FORMAT=MLN","Sort=A","Dates=H","DateFormat=P","Fill=—","Direction=H","UseDPDF=Y")</f>
        <v>36450</v>
      </c>
      <c r="AO10" s="13">
        <f>_xll.BDH("XOM US Equity","BS_ACCT_NOTE_RCV","FQ1 2008","FQ1 2008","Currency=USD","Period=FQ","BEST_FPERIOD_OVERRIDE=FQ","FILING_STATUS=OR","SCALING_FORMAT=MLN","Sort=A","Dates=H","DateFormat=P","Fill=—","Direction=H","UseDPDF=Y")</f>
        <v>36428</v>
      </c>
      <c r="AP10" s="13">
        <f>_xll.BDH("XOM US Equity","BS_ACCT_NOTE_RCV","FQ2 2008","FQ2 2008","Currency=USD","Period=FQ","BEST_FPERIOD_OVERRIDE=FQ","FILING_STATUS=OR","SCALING_FORMAT=MLN","Sort=A","Dates=H","DateFormat=P","Fill=—","Direction=H","UseDPDF=Y")</f>
        <v>41820</v>
      </c>
    </row>
    <row r="11" spans="1:42" x14ac:dyDescent="0.25">
      <c r="A11" s="10" t="s">
        <v>185</v>
      </c>
      <c r="B11" s="10" t="s">
        <v>186</v>
      </c>
      <c r="C11" s="13" t="str">
        <f>_xll.BDH("XOM US Equity","BS_ACCTS_REC_EXCL_NOTES_REC","FQ3 1998","FQ3 1998","Currency=USD","Period=FQ","BEST_FPERIOD_OVERRIDE=FQ","FILING_STATUS=OR","SCALING_FORMAT=MLN","Sort=A","Dates=H","DateFormat=P","Fill=—","Direction=H","UseDPDF=Y")</f>
        <v>—</v>
      </c>
      <c r="D11" s="13" t="str">
        <f>_xll.BDH("XOM US Equity","BS_ACCTS_REC_EXCL_NOTES_REC","FQ4 1998","FQ4 1998","Currency=USD","Period=FQ","BEST_FPERIOD_OVERRIDE=FQ","FILING_STATUS=OR","SCALING_FORMAT=MLN","Sort=A","Dates=H","DateFormat=P","Fill=—","Direction=H","UseDPDF=Y")</f>
        <v>—</v>
      </c>
      <c r="E11" s="13" t="str">
        <f>_xll.BDH("XOM US Equity","BS_ACCTS_REC_EXCL_NOTES_REC","FQ1 1999","FQ1 1999","Currency=USD","Period=FQ","BEST_FPERIOD_OVERRIDE=FQ","FILING_STATUS=OR","SCALING_FORMAT=MLN","Sort=A","Dates=H","DateFormat=P","Fill=—","Direction=H","UseDPDF=Y")</f>
        <v>—</v>
      </c>
      <c r="F11" s="13" t="str">
        <f>_xll.BDH("XOM US Equity","BS_ACCTS_REC_EXCL_NOTES_REC","FQ2 1999","FQ2 1999","Currency=USD","Period=FQ","BEST_FPERIOD_OVERRIDE=FQ","FILING_STATUS=OR","SCALING_FORMAT=MLN","Sort=A","Dates=H","DateFormat=P","Fill=—","Direction=H","UseDPDF=Y")</f>
        <v>—</v>
      </c>
      <c r="G11" s="13" t="str">
        <f>_xll.BDH("XOM US Equity","BS_ACCTS_REC_EXCL_NOTES_REC","FQ3 1999","FQ3 1999","Currency=USD","Period=FQ","BEST_FPERIOD_OVERRIDE=FQ","FILING_STATUS=OR","SCALING_FORMAT=MLN","Sort=A","Dates=H","DateFormat=P","Fill=—","Direction=H","UseDPDF=Y")</f>
        <v>—</v>
      </c>
      <c r="H11" s="13" t="str">
        <f>_xll.BDH("XOM US Equity","BS_ACCTS_REC_EXCL_NOTES_REC","FQ4 1999","FQ4 1999","Currency=USD","Period=FQ","BEST_FPERIOD_OVERRIDE=FQ","FILING_STATUS=OR","SCALING_FORMAT=MLN","Sort=A","Dates=H","DateFormat=P","Fill=—","Direction=H","UseDPDF=Y")</f>
        <v>—</v>
      </c>
      <c r="I11" s="13" t="str">
        <f>_xll.BDH("XOM US Equity","BS_ACCTS_REC_EXCL_NOTES_REC","FQ1 2000","FQ1 2000","Currency=USD","Period=FQ","BEST_FPERIOD_OVERRIDE=FQ","FILING_STATUS=OR","SCALING_FORMAT=MLN","Sort=A","Dates=H","DateFormat=P","Fill=—","Direction=H","UseDPDF=Y")</f>
        <v>—</v>
      </c>
      <c r="J11" s="13" t="str">
        <f>_xll.BDH("XOM US Equity","BS_ACCTS_REC_EXCL_NOTES_REC","FQ2 2000","FQ2 2000","Currency=USD","Period=FQ","BEST_FPERIOD_OVERRIDE=FQ","FILING_STATUS=OR","SCALING_FORMAT=MLN","Sort=A","Dates=H","DateFormat=P","Fill=—","Direction=H","UseDPDF=Y")</f>
        <v>—</v>
      </c>
      <c r="K11" s="13" t="str">
        <f>_xll.BDH("XOM US Equity","BS_ACCTS_REC_EXCL_NOTES_REC","FQ3 2000","FQ3 2000","Currency=USD","Period=FQ","BEST_FPERIOD_OVERRIDE=FQ","FILING_STATUS=OR","SCALING_FORMAT=MLN","Sort=A","Dates=H","DateFormat=P","Fill=—","Direction=H","UseDPDF=Y")</f>
        <v>—</v>
      </c>
      <c r="L11" s="13" t="str">
        <f>_xll.BDH("XOM US Equity","BS_ACCTS_REC_EXCL_NOTES_REC","FQ4 2000","FQ4 2000","Currency=USD","Period=FQ","BEST_FPERIOD_OVERRIDE=FQ","FILING_STATUS=OR","SCALING_FORMAT=MLN","Sort=A","Dates=H","DateFormat=P","Fill=—","Direction=H","UseDPDF=Y")</f>
        <v>—</v>
      </c>
      <c r="M11" s="13" t="str">
        <f>_xll.BDH("XOM US Equity","BS_ACCTS_REC_EXCL_NOTES_REC","FQ1 2001","FQ1 2001","Currency=USD","Period=FQ","BEST_FPERIOD_OVERRIDE=FQ","FILING_STATUS=OR","SCALING_FORMAT=MLN","Sort=A","Dates=H","DateFormat=P","Fill=—","Direction=H","UseDPDF=Y")</f>
        <v>—</v>
      </c>
      <c r="N11" s="13" t="str">
        <f>_xll.BDH("XOM US Equity","BS_ACCTS_REC_EXCL_NOTES_REC","FQ2 2001","FQ2 2001","Currency=USD","Period=FQ","BEST_FPERIOD_OVERRIDE=FQ","FILING_STATUS=OR","SCALING_FORMAT=MLN","Sort=A","Dates=H","DateFormat=P","Fill=—","Direction=H","UseDPDF=Y")</f>
        <v>—</v>
      </c>
      <c r="O11" s="13" t="str">
        <f>_xll.BDH("XOM US Equity","BS_ACCTS_REC_EXCL_NOTES_REC","FQ3 2001","FQ3 2001","Currency=USD","Period=FQ","BEST_FPERIOD_OVERRIDE=FQ","FILING_STATUS=OR","SCALING_FORMAT=MLN","Sort=A","Dates=H","DateFormat=P","Fill=—","Direction=H","UseDPDF=Y")</f>
        <v>—</v>
      </c>
      <c r="P11" s="13" t="str">
        <f>_xll.BDH("XOM US Equity","BS_ACCTS_REC_EXCL_NOTES_REC","FQ4 2001","FQ4 2001","Currency=USD","Period=FQ","BEST_FPERIOD_OVERRIDE=FQ","FILING_STATUS=OR","SCALING_FORMAT=MLN","Sort=A","Dates=H","DateFormat=P","Fill=—","Direction=H","UseDPDF=Y")</f>
        <v>—</v>
      </c>
      <c r="Q11" s="13" t="str">
        <f>_xll.BDH("XOM US Equity","BS_ACCTS_REC_EXCL_NOTES_REC","FQ1 2002","FQ1 2002","Currency=USD","Period=FQ","BEST_FPERIOD_OVERRIDE=FQ","FILING_STATUS=OR","SCALING_FORMAT=MLN","Sort=A","Dates=H","DateFormat=P","Fill=—","Direction=H","UseDPDF=Y")</f>
        <v>—</v>
      </c>
      <c r="R11" s="13" t="str">
        <f>_xll.BDH("XOM US Equity","BS_ACCTS_REC_EXCL_NOTES_REC","FQ2 2002","FQ2 2002","Currency=USD","Period=FQ","BEST_FPERIOD_OVERRIDE=FQ","FILING_STATUS=OR","SCALING_FORMAT=MLN","Sort=A","Dates=H","DateFormat=P","Fill=—","Direction=H","UseDPDF=Y")</f>
        <v>—</v>
      </c>
      <c r="S11" s="13" t="str">
        <f>_xll.BDH("XOM US Equity","BS_ACCTS_REC_EXCL_NOTES_REC","FQ3 2002","FQ3 2002","Currency=USD","Period=FQ","BEST_FPERIOD_OVERRIDE=FQ","FILING_STATUS=OR","SCALING_FORMAT=MLN","Sort=A","Dates=H","DateFormat=P","Fill=—","Direction=H","UseDPDF=Y")</f>
        <v>—</v>
      </c>
      <c r="T11" s="13" t="str">
        <f>_xll.BDH("XOM US Equity","BS_ACCTS_REC_EXCL_NOTES_REC","FQ4 2002","FQ4 2002","Currency=USD","Period=FQ","BEST_FPERIOD_OVERRIDE=FQ","FILING_STATUS=OR","SCALING_FORMAT=MLN","Sort=A","Dates=H","DateFormat=P","Fill=—","Direction=H","UseDPDF=Y")</f>
        <v>—</v>
      </c>
      <c r="U11" s="13" t="str">
        <f>_xll.BDH("XOM US Equity","BS_ACCTS_REC_EXCL_NOTES_REC","FQ1 2003","FQ1 2003","Currency=USD","Period=FQ","BEST_FPERIOD_OVERRIDE=FQ","FILING_STATUS=OR","SCALING_FORMAT=MLN","Sort=A","Dates=H","DateFormat=P","Fill=—","Direction=H","UseDPDF=Y")</f>
        <v>—</v>
      </c>
      <c r="V11" s="13" t="str">
        <f>_xll.BDH("XOM US Equity","BS_ACCTS_REC_EXCL_NOTES_REC","FQ2 2003","FQ2 2003","Currency=USD","Period=FQ","BEST_FPERIOD_OVERRIDE=FQ","FILING_STATUS=OR","SCALING_FORMAT=MLN","Sort=A","Dates=H","DateFormat=P","Fill=—","Direction=H","UseDPDF=Y")</f>
        <v>—</v>
      </c>
      <c r="W11" s="13" t="str">
        <f>_xll.BDH("XOM US Equity","BS_ACCTS_REC_EXCL_NOTES_REC","FQ3 2003","FQ3 2003","Currency=USD","Period=FQ","BEST_FPERIOD_OVERRIDE=FQ","FILING_STATUS=OR","SCALING_FORMAT=MLN","Sort=A","Dates=H","DateFormat=P","Fill=—","Direction=H","UseDPDF=Y")</f>
        <v>—</v>
      </c>
      <c r="X11" s="13" t="str">
        <f>_xll.BDH("XOM US Equity","BS_ACCTS_REC_EXCL_NOTES_REC","FQ4 2003","FQ4 2003","Currency=USD","Period=FQ","BEST_FPERIOD_OVERRIDE=FQ","FILING_STATUS=OR","SCALING_FORMAT=MLN","Sort=A","Dates=H","DateFormat=P","Fill=—","Direction=H","UseDPDF=Y")</f>
        <v>—</v>
      </c>
      <c r="Y11" s="13">
        <f>_xll.BDH("XOM US Equity","BS_ACCTS_REC_EXCL_NOTES_REC","FQ1 2004","FQ1 2004","Currency=USD","Period=FQ","BEST_FPERIOD_OVERRIDE=FQ","FILING_STATUS=OR","SCALING_FORMAT=MLN","Sort=A","Dates=H","DateFormat=P","Fill=—","Direction=H","UseDPDF=Y")</f>
        <v>24189</v>
      </c>
      <c r="Z11" s="13">
        <f>_xll.BDH("XOM US Equity","BS_ACCTS_REC_EXCL_NOTES_REC","FQ2 2004","FQ2 2004","Currency=USD","Period=FQ","BEST_FPERIOD_OVERRIDE=FQ","FILING_STATUS=OR","SCALING_FORMAT=MLN","Sort=A","Dates=H","DateFormat=P","Fill=—","Direction=H","UseDPDF=Y")</f>
        <v>23089</v>
      </c>
      <c r="AA11" s="13">
        <f>_xll.BDH("XOM US Equity","BS_ACCTS_REC_EXCL_NOTES_REC","FQ3 2004","FQ3 2004","Currency=USD","Period=FQ","BEST_FPERIOD_OVERRIDE=FQ","FILING_STATUS=OR","SCALING_FORMAT=MLN","Sort=A","Dates=H","DateFormat=P","Fill=—","Direction=H","UseDPDF=Y")</f>
        <v>24506</v>
      </c>
      <c r="AB11" s="13">
        <f>_xll.BDH("XOM US Equity","BS_ACCTS_REC_EXCL_NOTES_REC","FQ4 2004","FQ4 2004","Currency=USD","Period=FQ","BEST_FPERIOD_OVERRIDE=FQ","FILING_STATUS=OR","SCALING_FORMAT=MLN","Sort=A","Dates=H","DateFormat=P","Fill=—","Direction=H","UseDPDF=Y")</f>
        <v>20712</v>
      </c>
      <c r="AC11" s="13" t="str">
        <f>_xll.BDH("XOM US Equity","BS_ACCTS_REC_EXCL_NOTES_REC","FQ1 2005","FQ1 2005","Currency=USD","Period=FQ","BEST_FPERIOD_OVERRIDE=FQ","FILING_STATUS=OR","SCALING_FORMAT=MLN","Sort=A","Dates=H","DateFormat=P","Fill=—","Direction=H","UseDPDF=Y")</f>
        <v>—</v>
      </c>
      <c r="AD11" s="13" t="str">
        <f>_xll.BDH("XOM US Equity","BS_ACCTS_REC_EXCL_NOTES_REC","FQ2 2005","FQ2 2005","Currency=USD","Period=FQ","BEST_FPERIOD_OVERRIDE=FQ","FILING_STATUS=OR","SCALING_FORMAT=MLN","Sort=A","Dates=H","DateFormat=P","Fill=—","Direction=H","UseDPDF=Y")</f>
        <v>—</v>
      </c>
      <c r="AE11" s="13" t="str">
        <f>_xll.BDH("XOM US Equity","BS_ACCTS_REC_EXCL_NOTES_REC","FQ3 2005","FQ3 2005","Currency=USD","Period=FQ","BEST_FPERIOD_OVERRIDE=FQ","FILING_STATUS=OR","SCALING_FORMAT=MLN","Sort=A","Dates=H","DateFormat=P","Fill=—","Direction=H","UseDPDF=Y")</f>
        <v>—</v>
      </c>
      <c r="AF11" s="13" t="str">
        <f>_xll.BDH("XOM US Equity","BS_ACCTS_REC_EXCL_NOTES_REC","FQ4 2005","FQ4 2005","Currency=USD","Period=FQ","BEST_FPERIOD_OVERRIDE=FQ","FILING_STATUS=OR","SCALING_FORMAT=MLN","Sort=A","Dates=H","DateFormat=P","Fill=—","Direction=H","UseDPDF=Y")</f>
        <v>—</v>
      </c>
      <c r="AG11" s="13" t="str">
        <f>_xll.BDH("XOM US Equity","BS_ACCTS_REC_EXCL_NOTES_REC","FQ1 2006","FQ1 2006","Currency=USD","Period=FQ","BEST_FPERIOD_OVERRIDE=FQ","FILING_STATUS=OR","SCALING_FORMAT=MLN","Sort=A","Dates=H","DateFormat=P","Fill=—","Direction=H","UseDPDF=Y")</f>
        <v>—</v>
      </c>
      <c r="AH11" s="13" t="str">
        <f>_xll.BDH("XOM US Equity","BS_ACCTS_REC_EXCL_NOTES_REC","FQ2 2006","FQ2 2006","Currency=USD","Period=FQ","BEST_FPERIOD_OVERRIDE=FQ","FILING_STATUS=OR","SCALING_FORMAT=MLN","Sort=A","Dates=H","DateFormat=P","Fill=—","Direction=H","UseDPDF=Y")</f>
        <v>—</v>
      </c>
      <c r="AI11" s="13" t="str">
        <f>_xll.BDH("XOM US Equity","BS_ACCTS_REC_EXCL_NOTES_REC","FQ3 2006","FQ3 2006","Currency=USD","Period=FQ","BEST_FPERIOD_OVERRIDE=FQ","FILING_STATUS=OR","SCALING_FORMAT=MLN","Sort=A","Dates=H","DateFormat=P","Fill=—","Direction=H","UseDPDF=Y")</f>
        <v>—</v>
      </c>
      <c r="AJ11" s="13" t="str">
        <f>_xll.BDH("XOM US Equity","BS_ACCTS_REC_EXCL_NOTES_REC","FQ4 2006","FQ4 2006","Currency=USD","Period=FQ","BEST_FPERIOD_OVERRIDE=FQ","FILING_STATUS=OR","SCALING_FORMAT=MLN","Sort=A","Dates=H","DateFormat=P","Fill=—","Direction=H","UseDPDF=Y")</f>
        <v>—</v>
      </c>
      <c r="AK11" s="13" t="str">
        <f>_xll.BDH("XOM US Equity","BS_ACCTS_REC_EXCL_NOTES_REC","FQ1 2007","FQ1 2007","Currency=USD","Period=FQ","BEST_FPERIOD_OVERRIDE=FQ","FILING_STATUS=OR","SCALING_FORMAT=MLN","Sort=A","Dates=H","DateFormat=P","Fill=—","Direction=H","UseDPDF=Y")</f>
        <v>—</v>
      </c>
      <c r="AL11" s="13" t="str">
        <f>_xll.BDH("XOM US Equity","BS_ACCTS_REC_EXCL_NOTES_REC","FQ2 2007","FQ2 2007","Currency=USD","Period=FQ","BEST_FPERIOD_OVERRIDE=FQ","FILING_STATUS=OR","SCALING_FORMAT=MLN","Sort=A","Dates=H","DateFormat=P","Fill=—","Direction=H","UseDPDF=Y")</f>
        <v>—</v>
      </c>
      <c r="AM11" s="13" t="str">
        <f>_xll.BDH("XOM US Equity","BS_ACCTS_REC_EXCL_NOTES_REC","FQ3 2007","FQ3 2007","Currency=USD","Period=FQ","BEST_FPERIOD_OVERRIDE=FQ","FILING_STATUS=OR","SCALING_FORMAT=MLN","Sort=A","Dates=H","DateFormat=P","Fill=—","Direction=H","UseDPDF=Y")</f>
        <v>—</v>
      </c>
      <c r="AN11" s="13" t="str">
        <f>_xll.BDH("XOM US Equity","BS_ACCTS_REC_EXCL_NOTES_REC","FQ4 2007","FQ4 2007","Currency=USD","Period=FQ","BEST_FPERIOD_OVERRIDE=FQ","FILING_STATUS=OR","SCALING_FORMAT=MLN","Sort=A","Dates=H","DateFormat=P","Fill=—","Direction=H","UseDPDF=Y")</f>
        <v>—</v>
      </c>
      <c r="AO11" s="13" t="str">
        <f>_xll.BDH("XOM US Equity","BS_ACCTS_REC_EXCL_NOTES_REC","FQ1 2008","FQ1 2008","Currency=USD","Period=FQ","BEST_FPERIOD_OVERRIDE=FQ","FILING_STATUS=OR","SCALING_FORMAT=MLN","Sort=A","Dates=H","DateFormat=P","Fill=—","Direction=H","UseDPDF=Y")</f>
        <v>—</v>
      </c>
      <c r="AP11" s="13" t="str">
        <f>_xll.BDH("XOM US Equity","BS_ACCTS_REC_EXCL_NOTES_REC","FQ2 2008","FQ2 2008","Currency=USD","Period=FQ","BEST_FPERIOD_OVERRIDE=FQ","FILING_STATUS=OR","SCALING_FORMAT=MLN","Sort=A","Dates=H","DateFormat=P","Fill=—","Direction=H","UseDPDF=Y")</f>
        <v>—</v>
      </c>
    </row>
    <row r="12" spans="1:42" x14ac:dyDescent="0.25">
      <c r="A12" s="10" t="s">
        <v>187</v>
      </c>
      <c r="B12" s="10" t="s">
        <v>188</v>
      </c>
      <c r="C12" s="13">
        <f>_xll.BDH("XOM US Equity","BS_INVENTORIES","FQ3 1998","FQ3 1998","Currency=USD","Period=FQ","BEST_FPERIOD_OVERRIDE=FQ","FILING_STATUS=OR","SCALING_FORMAT=MLN","Sort=A","Dates=H","DateFormat=P","Fill=—","Direction=H","UseDPDF=Y")</f>
        <v>5462</v>
      </c>
      <c r="D12" s="13">
        <f>_xll.BDH("XOM US Equity","BS_INVENTORIES","FQ4 1998","FQ4 1998","Currency=USD","Period=FQ","BEST_FPERIOD_OVERRIDE=FQ","FILING_STATUS=OR","SCALING_FORMAT=MLN","Sort=A","Dates=H","DateFormat=P","Fill=—","Direction=H","UseDPDF=Y")</f>
        <v>5605</v>
      </c>
      <c r="E12" s="13">
        <f>_xll.BDH("XOM US Equity","BS_INVENTORIES","FQ1 1999","FQ1 1999","Currency=USD","Period=FQ","BEST_FPERIOD_OVERRIDE=FQ","FILING_STATUS=OR","SCALING_FORMAT=MLN","Sort=A","Dates=H","DateFormat=P","Fill=—","Direction=H","UseDPDF=Y")</f>
        <v>4947</v>
      </c>
      <c r="F12" s="13">
        <f>_xll.BDH("XOM US Equity","BS_INVENTORIES","FQ2 1999","FQ2 1999","Currency=USD","Period=FQ","BEST_FPERIOD_OVERRIDE=FQ","FILING_STATUS=OR","SCALING_FORMAT=MLN","Sort=A","Dates=H","DateFormat=P","Fill=—","Direction=H","UseDPDF=Y")</f>
        <v>4787</v>
      </c>
      <c r="G12" s="13">
        <f>_xll.BDH("XOM US Equity","BS_INVENTORIES","FQ3 1999","FQ3 1999","Currency=USD","Period=FQ","BEST_FPERIOD_OVERRIDE=FQ","FILING_STATUS=OR","SCALING_FORMAT=MLN","Sort=A","Dates=H","DateFormat=P","Fill=—","Direction=H","UseDPDF=Y")</f>
        <v>4895</v>
      </c>
      <c r="H12" s="13">
        <f>_xll.BDH("XOM US Equity","BS_INVENTORIES","FQ4 1999","FQ4 1999","Currency=USD","Period=FQ","BEST_FPERIOD_OVERRIDE=FQ","FILING_STATUS=OR","SCALING_FORMAT=MLN","Sort=A","Dates=H","DateFormat=P","Fill=—","Direction=H","UseDPDF=Y")</f>
        <v>8492</v>
      </c>
      <c r="I12" s="13">
        <f>_xll.BDH("XOM US Equity","BS_INVENTORIES","FQ1 2000","FQ1 2000","Currency=USD","Period=FQ","BEST_FPERIOD_OVERRIDE=FQ","FILING_STATUS=OR","SCALING_FORMAT=MLN","Sort=A","Dates=H","DateFormat=P","Fill=—","Direction=H","UseDPDF=Y")</f>
        <v>8184</v>
      </c>
      <c r="J12" s="13">
        <f>_xll.BDH("XOM US Equity","BS_INVENTORIES","FQ2 2000","FQ2 2000","Currency=USD","Period=FQ","BEST_FPERIOD_OVERRIDE=FQ","FILING_STATUS=OR","SCALING_FORMAT=MLN","Sort=A","Dates=H","DateFormat=P","Fill=—","Direction=H","UseDPDF=Y")</f>
        <v>8499</v>
      </c>
      <c r="K12" s="13">
        <f>_xll.BDH("XOM US Equity","BS_INVENTORIES","FQ3 2000","FQ3 2000","Currency=USD","Period=FQ","BEST_FPERIOD_OVERRIDE=FQ","FILING_STATUS=OR","SCALING_FORMAT=MLN","Sort=A","Dates=H","DateFormat=P","Fill=—","Direction=H","UseDPDF=Y")</f>
        <v>8540</v>
      </c>
      <c r="L12" s="13">
        <f>_xll.BDH("XOM US Equity","BS_INVENTORIES","FQ4 2000","FQ4 2000","Currency=USD","Period=FQ","BEST_FPERIOD_OVERRIDE=FQ","FILING_STATUS=OR","SCALING_FORMAT=MLN","Sort=A","Dates=H","DateFormat=P","Fill=—","Direction=H","UseDPDF=Y")</f>
        <v>8304</v>
      </c>
      <c r="M12" s="13">
        <f>_xll.BDH("XOM US Equity","BS_INVENTORIES","FQ1 2001","FQ1 2001","Currency=USD","Period=FQ","BEST_FPERIOD_OVERRIDE=FQ","FILING_STATUS=OR","SCALING_FORMAT=MLN","Sort=A","Dates=H","DateFormat=P","Fill=—","Direction=H","UseDPDF=Y")</f>
        <v>8382</v>
      </c>
      <c r="N12" s="13">
        <f>_xll.BDH("XOM US Equity","BS_INVENTORIES","FQ2 2001","FQ2 2001","Currency=USD","Period=FQ","BEST_FPERIOD_OVERRIDE=FQ","FILING_STATUS=OR","SCALING_FORMAT=MLN","Sort=A","Dates=H","DateFormat=P","Fill=—","Direction=H","UseDPDF=Y")</f>
        <v>8395</v>
      </c>
      <c r="O12" s="13">
        <f>_xll.BDH("XOM US Equity","BS_INVENTORIES","FQ3 2001","FQ3 2001","Currency=USD","Period=FQ","BEST_FPERIOD_OVERRIDE=FQ","FILING_STATUS=OR","SCALING_FORMAT=MLN","Sort=A","Dates=H","DateFormat=P","Fill=—","Direction=H","UseDPDF=Y")</f>
        <v>8615</v>
      </c>
      <c r="P12" s="13">
        <f>_xll.BDH("XOM US Equity","BS_INVENTORIES","FQ4 2001","FQ4 2001","Currency=USD","Period=FQ","BEST_FPERIOD_OVERRIDE=FQ","FILING_STATUS=OR","SCALING_FORMAT=MLN","Sort=A","Dates=H","DateFormat=P","Fill=—","Direction=H","UseDPDF=Y")</f>
        <v>7904</v>
      </c>
      <c r="Q12" s="13">
        <f>_xll.BDH("XOM US Equity","BS_INVENTORIES","FQ1 2002","FQ1 2002","Currency=USD","Period=FQ","BEST_FPERIOD_OVERRIDE=FQ","FILING_STATUS=OR","SCALING_FORMAT=MLN","Sort=A","Dates=H","DateFormat=P","Fill=—","Direction=H","UseDPDF=Y")</f>
        <v>8321</v>
      </c>
      <c r="R12" s="13">
        <f>_xll.BDH("XOM US Equity","BS_INVENTORIES","FQ2 2002","FQ2 2002","Currency=USD","Period=FQ","BEST_FPERIOD_OVERRIDE=FQ","FILING_STATUS=OR","SCALING_FORMAT=MLN","Sort=A","Dates=H","DateFormat=P","Fill=—","Direction=H","UseDPDF=Y")</f>
        <v>8666</v>
      </c>
      <c r="S12" s="13">
        <f>_xll.BDH("XOM US Equity","BS_INVENTORIES","FQ3 2002","FQ3 2002","Currency=USD","Period=FQ","BEST_FPERIOD_OVERRIDE=FQ","FILING_STATUS=OR","SCALING_FORMAT=MLN","Sort=A","Dates=H","DateFormat=P","Fill=—","Direction=H","UseDPDF=Y")</f>
        <v>8756</v>
      </c>
      <c r="T12" s="13">
        <f>_xll.BDH("XOM US Equity","BS_INVENTORIES","FQ4 2002","FQ4 2002","Currency=USD","Period=FQ","BEST_FPERIOD_OVERRIDE=FQ","FILING_STATUS=OR","SCALING_FORMAT=MLN","Sort=A","Dates=H","DateFormat=P","Fill=—","Direction=H","UseDPDF=Y")</f>
        <v>8068</v>
      </c>
      <c r="U12" s="13">
        <f>_xll.BDH("XOM US Equity","BS_INVENTORIES","FQ1 2003","FQ1 2003","Currency=USD","Period=FQ","BEST_FPERIOD_OVERRIDE=FQ","FILING_STATUS=OR","SCALING_FORMAT=MLN","Sort=A","Dates=H","DateFormat=P","Fill=—","Direction=H","UseDPDF=Y")</f>
        <v>8862</v>
      </c>
      <c r="V12" s="13">
        <f>_xll.BDH("XOM US Equity","BS_INVENTORIES","FQ2 2003","FQ2 2003","Currency=USD","Period=FQ","BEST_FPERIOD_OVERRIDE=FQ","FILING_STATUS=OR","SCALING_FORMAT=MLN","Sort=A","Dates=H","DateFormat=P","Fill=—","Direction=H","UseDPDF=Y")</f>
        <v>10035</v>
      </c>
      <c r="W12" s="13">
        <f>_xll.BDH("XOM US Equity","BS_INVENTORIES","FQ3 2003","FQ3 2003","Currency=USD","Period=FQ","BEST_FPERIOD_OVERRIDE=FQ","FILING_STATUS=OR","SCALING_FORMAT=MLN","Sort=A","Dates=H","DateFormat=P","Fill=—","Direction=H","UseDPDF=Y")</f>
        <v>9757</v>
      </c>
      <c r="X12" s="13">
        <f>_xll.BDH("XOM US Equity","BS_INVENTORIES","FQ4 2003","FQ4 2003","Currency=USD","Period=FQ","BEST_FPERIOD_OVERRIDE=FQ","FILING_STATUS=OR","SCALING_FORMAT=MLN","Sort=A","Dates=H","DateFormat=P","Fill=—","Direction=H","UseDPDF=Y")</f>
        <v>8957</v>
      </c>
      <c r="Y12" s="13">
        <f>_xll.BDH("XOM US Equity","BS_INVENTORIES","FQ1 2004","FQ1 2004","Currency=USD","Period=FQ","BEST_FPERIOD_OVERRIDE=FQ","FILING_STATUS=OR","SCALING_FORMAT=MLN","Sort=A","Dates=H","DateFormat=P","Fill=—","Direction=H","UseDPDF=Y")</f>
        <v>10186</v>
      </c>
      <c r="Z12" s="13">
        <f>_xll.BDH("XOM US Equity","BS_INVENTORIES","FQ2 2004","FQ2 2004","Currency=USD","Period=FQ","BEST_FPERIOD_OVERRIDE=FQ","FILING_STATUS=OR","SCALING_FORMAT=MLN","Sort=A","Dates=H","DateFormat=P","Fill=—","Direction=H","UseDPDF=Y")</f>
        <v>9958</v>
      </c>
      <c r="AA12" s="13">
        <f>_xll.BDH("XOM US Equity","BS_INVENTORIES","FQ3 2004","FQ3 2004","Currency=USD","Period=FQ","BEST_FPERIOD_OVERRIDE=FQ","FILING_STATUS=OR","SCALING_FORMAT=MLN","Sort=A","Dates=H","DateFormat=P","Fill=—","Direction=H","UseDPDF=Y")</f>
        <v>10079</v>
      </c>
      <c r="AB12" s="13">
        <f>_xll.BDH("XOM US Equity","BS_INVENTORIES","FQ4 2004","FQ4 2004","Currency=USD","Period=FQ","BEST_FPERIOD_OVERRIDE=FQ","FILING_STATUS=OR","SCALING_FORMAT=MLN","Sort=A","Dates=H","DateFormat=P","Fill=—","Direction=H","UseDPDF=Y")</f>
        <v>9487</v>
      </c>
      <c r="AC12" s="13">
        <f>_xll.BDH("XOM US Equity","BS_INVENTORIES","FQ1 2005","FQ1 2005","Currency=USD","Period=FQ","BEST_FPERIOD_OVERRIDE=FQ","FILING_STATUS=OR","SCALING_FORMAT=MLN","Sort=A","Dates=H","DateFormat=P","Fill=—","Direction=H","UseDPDF=Y")</f>
        <v>10462</v>
      </c>
      <c r="AD12" s="13">
        <f>_xll.BDH("XOM US Equity","BS_INVENTORIES","FQ2 2005","FQ2 2005","Currency=USD","Period=FQ","BEST_FPERIOD_OVERRIDE=FQ","FILING_STATUS=OR","SCALING_FORMAT=MLN","Sort=A","Dates=H","DateFormat=P","Fill=—","Direction=H","UseDPDF=Y")</f>
        <v>10583</v>
      </c>
      <c r="AE12" s="13">
        <f>_xll.BDH("XOM US Equity","BS_INVENTORIES","FQ3 2005","FQ3 2005","Currency=USD","Period=FQ","BEST_FPERIOD_OVERRIDE=FQ","FILING_STATUS=OR","SCALING_FORMAT=MLN","Sort=A","Dates=H","DateFormat=P","Fill=—","Direction=H","UseDPDF=Y")</f>
        <v>10976</v>
      </c>
      <c r="AF12" s="13">
        <f>_xll.BDH("XOM US Equity","BS_INVENTORIES","FQ4 2005","FQ4 2005","Currency=USD","Period=FQ","BEST_FPERIOD_OVERRIDE=FQ","FILING_STATUS=OR","SCALING_FORMAT=MLN","Sort=A","Dates=H","DateFormat=P","Fill=—","Direction=H","UseDPDF=Y")</f>
        <v>9321</v>
      </c>
      <c r="AG12" s="13">
        <f>_xll.BDH("XOM US Equity","BS_INVENTORIES","FQ1 2006","FQ1 2006","Currency=USD","Period=FQ","BEST_FPERIOD_OVERRIDE=FQ","FILING_STATUS=OR","SCALING_FORMAT=MLN","Sort=A","Dates=H","DateFormat=P","Fill=—","Direction=H","UseDPDF=Y")</f>
        <v>11584</v>
      </c>
      <c r="AH12" s="13">
        <f>_xll.BDH("XOM US Equity","BS_INVENTORIES","FQ2 2006","FQ2 2006","Currency=USD","Period=FQ","BEST_FPERIOD_OVERRIDE=FQ","FILING_STATUS=OR","SCALING_FORMAT=MLN","Sort=A","Dates=H","DateFormat=P","Fill=—","Direction=H","UseDPDF=Y")</f>
        <v>11829</v>
      </c>
      <c r="AI12" s="13">
        <f>_xll.BDH("XOM US Equity","BS_INVENTORIES","FQ3 2006","FQ3 2006","Currency=USD","Period=FQ","BEST_FPERIOD_OVERRIDE=FQ","FILING_STATUS=OR","SCALING_FORMAT=MLN","Sort=A","Dates=H","DateFormat=P","Fill=—","Direction=H","UseDPDF=Y")</f>
        <v>12528</v>
      </c>
      <c r="AJ12" s="13">
        <f>_xll.BDH("XOM US Equity","BS_INVENTORIES","FQ4 2006","FQ4 2006","Currency=USD","Period=FQ","BEST_FPERIOD_OVERRIDE=FQ","FILING_STATUS=OR","SCALING_FORMAT=MLN","Sort=A","Dates=H","DateFormat=P","Fill=—","Direction=H","UseDPDF=Y")</f>
        <v>10714</v>
      </c>
      <c r="AK12" s="13">
        <f>_xll.BDH("XOM US Equity","BS_INVENTORIES","FQ1 2007","FQ1 2007","Currency=USD","Period=FQ","BEST_FPERIOD_OVERRIDE=FQ","FILING_STATUS=OR","SCALING_FORMAT=MLN","Sort=A","Dates=H","DateFormat=P","Fill=—","Direction=H","UseDPDF=Y")</f>
        <v>12605</v>
      </c>
      <c r="AL12" s="13">
        <f>_xll.BDH("XOM US Equity","BS_INVENTORIES","FQ2 2007","FQ2 2007","Currency=USD","Period=FQ","BEST_FPERIOD_OVERRIDE=FQ","FILING_STATUS=OR","SCALING_FORMAT=MLN","Sort=A","Dates=H","DateFormat=P","Fill=—","Direction=H","UseDPDF=Y")</f>
        <v>12895</v>
      </c>
      <c r="AM12" s="13">
        <f>_xll.BDH("XOM US Equity","BS_INVENTORIES","FQ3 2007","FQ3 2007","Currency=USD","Period=FQ","BEST_FPERIOD_OVERRIDE=FQ","FILING_STATUS=OR","SCALING_FORMAT=MLN","Sort=A","Dates=H","DateFormat=P","Fill=—","Direction=H","UseDPDF=Y")</f>
        <v>13019</v>
      </c>
      <c r="AN12" s="13">
        <f>_xll.BDH("XOM US Equity","BS_INVENTORIES","FQ4 2007","FQ4 2007","Currency=USD","Period=FQ","BEST_FPERIOD_OVERRIDE=FQ","FILING_STATUS=OR","SCALING_FORMAT=MLN","Sort=A","Dates=H","DateFormat=P","Fill=—","Direction=H","UseDPDF=Y")</f>
        <v>11089</v>
      </c>
      <c r="AO12" s="13">
        <f>_xll.BDH("XOM US Equity","BS_INVENTORIES","FQ1 2008","FQ1 2008","Currency=USD","Period=FQ","BEST_FPERIOD_OVERRIDE=FQ","FILING_STATUS=OR","SCALING_FORMAT=MLN","Sort=A","Dates=H","DateFormat=P","Fill=—","Direction=H","UseDPDF=Y")</f>
        <v>15378</v>
      </c>
      <c r="AP12" s="13">
        <f>_xll.BDH("XOM US Equity","BS_INVENTORIES","FQ2 2008","FQ2 2008","Currency=USD","Period=FQ","BEST_FPERIOD_OVERRIDE=FQ","FILING_STATUS=OR","SCALING_FORMAT=MLN","Sort=A","Dates=H","DateFormat=P","Fill=—","Direction=H","UseDPDF=Y")</f>
        <v>15861</v>
      </c>
    </row>
    <row r="13" spans="1:42" x14ac:dyDescent="0.25">
      <c r="A13" s="10" t="s">
        <v>189</v>
      </c>
      <c r="B13" s="10" t="s">
        <v>190</v>
      </c>
      <c r="C13" s="13">
        <f>_xll.BDH("XOM US Equity","INVTRY_RAW_MATERIALS","FQ3 1998","FQ3 1998","Currency=USD","Period=FQ","BEST_FPERIOD_OVERRIDE=FQ","FILING_STATUS=OR","SCALING_FORMAT=MLN","Sort=A","Dates=H","DateFormat=P","Fill=—","Direction=H","UseDPDF=Y")</f>
        <v>758</v>
      </c>
      <c r="D13" s="13" t="str">
        <f>_xll.BDH("XOM US Equity","INVTRY_RAW_MATERIALS","FQ4 1998","FQ4 1998","Currency=USD","Period=FQ","BEST_FPERIOD_OVERRIDE=FQ","FILING_STATUS=OR","SCALING_FORMAT=MLN","Sort=A","Dates=H","DateFormat=P","Fill=—","Direction=H","UseDPDF=Y")</f>
        <v>—</v>
      </c>
      <c r="E13" s="13">
        <f>_xll.BDH("XOM US Equity","INVTRY_RAW_MATERIALS","FQ1 1999","FQ1 1999","Currency=USD","Period=FQ","BEST_FPERIOD_OVERRIDE=FQ","FILING_STATUS=OR","SCALING_FORMAT=MLN","Sort=A","Dates=H","DateFormat=P","Fill=—","Direction=H","UseDPDF=Y")</f>
        <v>684</v>
      </c>
      <c r="F13" s="13">
        <f>_xll.BDH("XOM US Equity","INVTRY_RAW_MATERIALS","FQ2 1999","FQ2 1999","Currency=USD","Period=FQ","BEST_FPERIOD_OVERRIDE=FQ","FILING_STATUS=OR","SCALING_FORMAT=MLN","Sort=A","Dates=H","DateFormat=P","Fill=—","Direction=H","UseDPDF=Y")</f>
        <v>664</v>
      </c>
      <c r="G13" s="13">
        <f>_xll.BDH("XOM US Equity","INVTRY_RAW_MATERIALS","FQ3 1999","FQ3 1999","Currency=USD","Period=FQ","BEST_FPERIOD_OVERRIDE=FQ","FILING_STATUS=OR","SCALING_FORMAT=MLN","Sort=A","Dates=H","DateFormat=P","Fill=—","Direction=H","UseDPDF=Y")</f>
        <v>675</v>
      </c>
      <c r="H13" s="13">
        <f>_xll.BDH("XOM US Equity","INVTRY_RAW_MATERIALS","FQ4 1999","FQ4 1999","Currency=USD","Period=FQ","BEST_FPERIOD_OVERRIDE=FQ","FILING_STATUS=OR","SCALING_FORMAT=MLN","Sort=A","Dates=H","DateFormat=P","Fill=—","Direction=H","UseDPDF=Y")</f>
        <v>112</v>
      </c>
      <c r="I13" s="13">
        <f>_xll.BDH("XOM US Equity","INVTRY_RAW_MATERIALS","FQ1 2000","FQ1 2000","Currency=USD","Period=FQ","BEST_FPERIOD_OVERRIDE=FQ","FILING_STATUS=OR","SCALING_FORMAT=MLN","Sort=A","Dates=H","DateFormat=P","Fill=—","Direction=H","UseDPDF=Y")</f>
        <v>1138</v>
      </c>
      <c r="J13" s="13">
        <f>_xll.BDH("XOM US Equity","INVTRY_RAW_MATERIALS","FQ2 2000","FQ2 2000","Currency=USD","Period=FQ","BEST_FPERIOD_OVERRIDE=FQ","FILING_STATUS=OR","SCALING_FORMAT=MLN","Sort=A","Dates=H","DateFormat=P","Fill=—","Direction=H","UseDPDF=Y")</f>
        <v>1055</v>
      </c>
      <c r="K13" s="13">
        <f>_xll.BDH("XOM US Equity","INVTRY_RAW_MATERIALS","FQ3 2000","FQ3 2000","Currency=USD","Period=FQ","BEST_FPERIOD_OVERRIDE=FQ","FILING_STATUS=OR","SCALING_FORMAT=MLN","Sort=A","Dates=H","DateFormat=P","Fill=—","Direction=H","UseDPDF=Y")</f>
        <v>1094</v>
      </c>
      <c r="L13" s="13">
        <f>_xll.BDH("XOM US Equity","INVTRY_RAW_MATERIALS","FQ4 2000","FQ4 2000","Currency=USD","Period=FQ","BEST_FPERIOD_OVERRIDE=FQ","FILING_STATUS=OR","SCALING_FORMAT=MLN","Sort=A","Dates=H","DateFormat=P","Fill=—","Direction=H","UseDPDF=Y")</f>
        <v>1060</v>
      </c>
      <c r="M13" s="13">
        <f>_xll.BDH("XOM US Equity","INVTRY_RAW_MATERIALS","FQ1 2001","FQ1 2001","Currency=USD","Period=FQ","BEST_FPERIOD_OVERRIDE=FQ","FILING_STATUS=OR","SCALING_FORMAT=MLN","Sort=A","Dates=H","DateFormat=P","Fill=—","Direction=H","UseDPDF=Y")</f>
        <v>1053</v>
      </c>
      <c r="N13" s="13">
        <f>_xll.BDH("XOM US Equity","INVTRY_RAW_MATERIALS","FQ2 2001","FQ2 2001","Currency=USD","Period=FQ","BEST_FPERIOD_OVERRIDE=FQ","FILING_STATUS=OR","SCALING_FORMAT=MLN","Sort=A","Dates=H","DateFormat=P","Fill=—","Direction=H","UseDPDF=Y")</f>
        <v>1102</v>
      </c>
      <c r="O13" s="13">
        <f>_xll.BDH("XOM US Equity","INVTRY_RAW_MATERIALS","FQ3 2001","FQ3 2001","Currency=USD","Period=FQ","BEST_FPERIOD_OVERRIDE=FQ","FILING_STATUS=OR","SCALING_FORMAT=MLN","Sort=A","Dates=H","DateFormat=P","Fill=—","Direction=H","UseDPDF=Y")</f>
        <v>1145</v>
      </c>
      <c r="P13" s="13">
        <f>_xll.BDH("XOM US Equity","INVTRY_RAW_MATERIALS","FQ4 2001","FQ4 2001","Currency=USD","Period=FQ","BEST_FPERIOD_OVERRIDE=FQ","FILING_STATUS=OR","SCALING_FORMAT=MLN","Sort=A","Dates=H","DateFormat=P","Fill=—","Direction=H","UseDPDF=Y")</f>
        <v>1161</v>
      </c>
      <c r="Q13" s="13">
        <f>_xll.BDH("XOM US Equity","INVTRY_RAW_MATERIALS","FQ1 2002","FQ1 2002","Currency=USD","Period=FQ","BEST_FPERIOD_OVERRIDE=FQ","FILING_STATUS=OR","SCALING_FORMAT=MLN","Sort=A","Dates=H","DateFormat=P","Fill=—","Direction=H","UseDPDF=Y")</f>
        <v>1167</v>
      </c>
      <c r="R13" s="13">
        <f>_xll.BDH("XOM US Equity","INVTRY_RAW_MATERIALS","FQ2 2002","FQ2 2002","Currency=USD","Period=FQ","BEST_FPERIOD_OVERRIDE=FQ","FILING_STATUS=OR","SCALING_FORMAT=MLN","Sort=A","Dates=H","DateFormat=P","Fill=—","Direction=H","UseDPDF=Y")</f>
        <v>1254</v>
      </c>
      <c r="S13" s="13">
        <f>_xll.BDH("XOM US Equity","INVTRY_RAW_MATERIALS","FQ3 2002","FQ3 2002","Currency=USD","Period=FQ","BEST_FPERIOD_OVERRIDE=FQ","FILING_STATUS=OR","SCALING_FORMAT=MLN","Sort=A","Dates=H","DateFormat=P","Fill=—","Direction=H","UseDPDF=Y")</f>
        <v>1284</v>
      </c>
      <c r="T13" s="13">
        <f>_xll.BDH("XOM US Equity","INVTRY_RAW_MATERIALS","FQ4 2002","FQ4 2002","Currency=USD","Period=FQ","BEST_FPERIOD_OVERRIDE=FQ","FILING_STATUS=OR","SCALING_FORMAT=MLN","Sort=A","Dates=H","DateFormat=P","Fill=—","Direction=H","UseDPDF=Y")</f>
        <v>1241</v>
      </c>
      <c r="U13" s="13">
        <f>_xll.BDH("XOM US Equity","INVTRY_RAW_MATERIALS","FQ1 2003","FQ1 2003","Currency=USD","Period=FQ","BEST_FPERIOD_OVERRIDE=FQ","FILING_STATUS=OR","SCALING_FORMAT=MLN","Sort=A","Dates=H","DateFormat=P","Fill=—","Direction=H","UseDPDF=Y")</f>
        <v>1242</v>
      </c>
      <c r="V13" s="13">
        <f>_xll.BDH("XOM US Equity","INVTRY_RAW_MATERIALS","FQ2 2003","FQ2 2003","Currency=USD","Period=FQ","BEST_FPERIOD_OVERRIDE=FQ","FILING_STATUS=OR","SCALING_FORMAT=MLN","Sort=A","Dates=H","DateFormat=P","Fill=—","Direction=H","UseDPDF=Y")</f>
        <v>1252</v>
      </c>
      <c r="W13" s="13">
        <f>_xll.BDH("XOM US Equity","INVTRY_RAW_MATERIALS","FQ3 2003","FQ3 2003","Currency=USD","Period=FQ","BEST_FPERIOD_OVERRIDE=FQ","FILING_STATUS=OR","SCALING_FORMAT=MLN","Sort=A","Dates=H","DateFormat=P","Fill=—","Direction=H","UseDPDF=Y")</f>
        <v>1282</v>
      </c>
      <c r="X13" s="13">
        <f>_xll.BDH("XOM US Equity","INVTRY_RAW_MATERIALS","FQ4 2003","FQ4 2003","Currency=USD","Period=FQ","BEST_FPERIOD_OVERRIDE=FQ","FILING_STATUS=OR","SCALING_FORMAT=MLN","Sort=A","Dates=H","DateFormat=P","Fill=—","Direction=H","UseDPDF=Y")</f>
        <v>1292</v>
      </c>
      <c r="Y13" s="13">
        <f>_xll.BDH("XOM US Equity","INVTRY_RAW_MATERIALS","FQ1 2004","FQ1 2004","Currency=USD","Period=FQ","BEST_FPERIOD_OVERRIDE=FQ","FILING_STATUS=OR","SCALING_FORMAT=MLN","Sort=A","Dates=H","DateFormat=P","Fill=—","Direction=H","UseDPDF=Y")</f>
        <v>1294</v>
      </c>
      <c r="Z13" s="13">
        <f>_xll.BDH("XOM US Equity","INVTRY_RAW_MATERIALS","FQ2 2004","FQ2 2004","Currency=USD","Period=FQ","BEST_FPERIOD_OVERRIDE=FQ","FILING_STATUS=OR","SCALING_FORMAT=MLN","Sort=A","Dates=H","DateFormat=P","Fill=—","Direction=H","UseDPDF=Y")</f>
        <v>1278</v>
      </c>
      <c r="AA13" s="13">
        <f>_xll.BDH("XOM US Equity","INVTRY_RAW_MATERIALS","FQ3 2004","FQ3 2004","Currency=USD","Period=FQ","BEST_FPERIOD_OVERRIDE=FQ","FILING_STATUS=OR","SCALING_FORMAT=MLN","Sort=A","Dates=H","DateFormat=P","Fill=—","Direction=H","UseDPDF=Y")</f>
        <v>1329</v>
      </c>
      <c r="AB13" s="13">
        <f>_xll.BDH("XOM US Equity","INVTRY_RAW_MATERIALS","FQ4 2004","FQ4 2004","Currency=USD","Period=FQ","BEST_FPERIOD_OVERRIDE=FQ","FILING_STATUS=OR","SCALING_FORMAT=MLN","Sort=A","Dates=H","DateFormat=P","Fill=—","Direction=H","UseDPDF=Y")</f>
        <v>1351</v>
      </c>
      <c r="AC13" s="13">
        <f>_xll.BDH("XOM US Equity","INVTRY_RAW_MATERIALS","FQ1 2005","FQ1 2005","Currency=USD","Period=FQ","BEST_FPERIOD_OVERRIDE=FQ","FILING_STATUS=OR","SCALING_FORMAT=MLN","Sort=A","Dates=H","DateFormat=P","Fill=—","Direction=H","UseDPDF=Y")</f>
        <v>1338</v>
      </c>
      <c r="AD13" s="13">
        <f>_xll.BDH("XOM US Equity","INVTRY_RAW_MATERIALS","FQ2 2005","FQ2 2005","Currency=USD","Period=FQ","BEST_FPERIOD_OVERRIDE=FQ","FILING_STATUS=OR","SCALING_FORMAT=MLN","Sort=A","Dates=H","DateFormat=P","Fill=—","Direction=H","UseDPDF=Y")</f>
        <v>1364</v>
      </c>
      <c r="AE13" s="13">
        <f>_xll.BDH("XOM US Equity","INVTRY_RAW_MATERIALS","FQ3 2005","FQ3 2005","Currency=USD","Period=FQ","BEST_FPERIOD_OVERRIDE=FQ","FILING_STATUS=OR","SCALING_FORMAT=MLN","Sort=A","Dates=H","DateFormat=P","Fill=—","Direction=H","UseDPDF=Y")</f>
        <v>1399</v>
      </c>
      <c r="AF13" s="13">
        <f>_xll.BDH("XOM US Equity","INVTRY_RAW_MATERIALS","FQ4 2005","FQ4 2005","Currency=USD","Period=FQ","BEST_FPERIOD_OVERRIDE=FQ","FILING_STATUS=OR","SCALING_FORMAT=MLN","Sort=A","Dates=H","DateFormat=P","Fill=—","Direction=H","UseDPDF=Y")</f>
        <v>1469</v>
      </c>
      <c r="AG13" s="13">
        <f>_xll.BDH("XOM US Equity","INVTRY_RAW_MATERIALS","FQ1 2006","FQ1 2006","Currency=USD","Period=FQ","BEST_FPERIOD_OVERRIDE=FQ","FILING_STATUS=OR","SCALING_FORMAT=MLN","Sort=A","Dates=H","DateFormat=P","Fill=—","Direction=H","UseDPDF=Y")</f>
        <v>1536</v>
      </c>
      <c r="AH13" s="13">
        <f>_xll.BDH("XOM US Equity","INVTRY_RAW_MATERIALS","FQ2 2006","FQ2 2006","Currency=USD","Period=FQ","BEST_FPERIOD_OVERRIDE=FQ","FILING_STATUS=OR","SCALING_FORMAT=MLN","Sort=A","Dates=H","DateFormat=P","Fill=—","Direction=H","UseDPDF=Y")</f>
        <v>1596</v>
      </c>
      <c r="AI13" s="13">
        <f>_xll.BDH("XOM US Equity","INVTRY_RAW_MATERIALS","FQ3 2006","FQ3 2006","Currency=USD","Period=FQ","BEST_FPERIOD_OVERRIDE=FQ","FILING_STATUS=OR","SCALING_FORMAT=MLN","Sort=A","Dates=H","DateFormat=P","Fill=—","Direction=H","UseDPDF=Y")</f>
        <v>1670</v>
      </c>
      <c r="AJ13" s="13">
        <f>_xll.BDH("XOM US Equity","INVTRY_RAW_MATERIALS","FQ4 2006","FQ4 2006","Currency=USD","Period=FQ","BEST_FPERIOD_OVERRIDE=FQ","FILING_STATUS=OR","SCALING_FORMAT=MLN","Sort=A","Dates=H","DateFormat=P","Fill=—","Direction=H","UseDPDF=Y")</f>
        <v>1735</v>
      </c>
      <c r="AK13" s="13">
        <f>_xll.BDH("XOM US Equity","INVTRY_RAW_MATERIALS","FQ1 2007","FQ1 2007","Currency=USD","Period=FQ","BEST_FPERIOD_OVERRIDE=FQ","FILING_STATUS=OR","SCALING_FORMAT=MLN","Sort=A","Dates=H","DateFormat=P","Fill=—","Direction=H","UseDPDF=Y")</f>
        <v>1846</v>
      </c>
      <c r="AL13" s="13">
        <f>_xll.BDH("XOM US Equity","INVTRY_RAW_MATERIALS","FQ2 2007","FQ2 2007","Currency=USD","Period=FQ","BEST_FPERIOD_OVERRIDE=FQ","FILING_STATUS=OR","SCALING_FORMAT=MLN","Sort=A","Dates=H","DateFormat=P","Fill=—","Direction=H","UseDPDF=Y")</f>
        <v>2029</v>
      </c>
      <c r="AM13" s="13">
        <f>_xll.BDH("XOM US Equity","INVTRY_RAW_MATERIALS","FQ3 2007","FQ3 2007","Currency=USD","Period=FQ","BEST_FPERIOD_OVERRIDE=FQ","FILING_STATUS=OR","SCALING_FORMAT=MLN","Sort=A","Dates=H","DateFormat=P","Fill=—","Direction=H","UseDPDF=Y")</f>
        <v>2136</v>
      </c>
      <c r="AN13" s="13">
        <f>_xll.BDH("XOM US Equity","INVTRY_RAW_MATERIALS","FQ4 2007","FQ4 2007","Currency=USD","Period=FQ","BEST_FPERIOD_OVERRIDE=FQ","FILING_STATUS=OR","SCALING_FORMAT=MLN","Sort=A","Dates=H","DateFormat=P","Fill=—","Direction=H","UseDPDF=Y")</f>
        <v>2226</v>
      </c>
      <c r="AO13" s="13">
        <f>_xll.BDH("XOM US Equity","INVTRY_RAW_MATERIALS","FQ1 2008","FQ1 2008","Currency=USD","Period=FQ","BEST_FPERIOD_OVERRIDE=FQ","FILING_STATUS=OR","SCALING_FORMAT=MLN","Sort=A","Dates=H","DateFormat=P","Fill=—","Direction=H","UseDPDF=Y")</f>
        <v>2303</v>
      </c>
      <c r="AP13" s="13">
        <f>_xll.BDH("XOM US Equity","INVTRY_RAW_MATERIALS","FQ2 2008","FQ2 2008","Currency=USD","Period=FQ","BEST_FPERIOD_OVERRIDE=FQ","FILING_STATUS=OR","SCALING_FORMAT=MLN","Sort=A","Dates=H","DateFormat=P","Fill=—","Direction=H","UseDPDF=Y")</f>
        <v>2348</v>
      </c>
    </row>
    <row r="14" spans="1:42" x14ac:dyDescent="0.25">
      <c r="A14" s="10" t="s">
        <v>191</v>
      </c>
      <c r="B14" s="10" t="s">
        <v>192</v>
      </c>
      <c r="C14" s="13" t="str">
        <f>_xll.BDH("XOM US Equity","INVTRY_IN_PROGRESS","FQ3 1998","FQ3 1998","Currency=USD","Period=FQ","BEST_FPERIOD_OVERRIDE=FQ","FILING_STATUS=OR","SCALING_FORMAT=MLN","Sort=A","Dates=H","DateFormat=P","Fill=—","Direction=H","UseDPDF=Y")</f>
        <v>—</v>
      </c>
      <c r="D14" s="13">
        <f>_xll.BDH("XOM US Equity","INVTRY_IN_PROGRESS","FQ4 1998","FQ4 1998","Currency=USD","Period=FQ","BEST_FPERIOD_OVERRIDE=FQ","FILING_STATUS=OR","SCALING_FORMAT=MLN","Sort=A","Dates=H","DateFormat=P","Fill=—","Direction=H","UseDPDF=Y")</f>
        <v>0</v>
      </c>
      <c r="E14" s="13" t="str">
        <f>_xll.BDH("XOM US Equity","INVTRY_IN_PROGRESS","FQ1 1999","FQ1 1999","Currency=USD","Period=FQ","BEST_FPERIOD_OVERRIDE=FQ","FILING_STATUS=OR","SCALING_FORMAT=MLN","Sort=A","Dates=H","DateFormat=P","Fill=—","Direction=H","UseDPDF=Y")</f>
        <v>—</v>
      </c>
      <c r="F14" s="13">
        <f>_xll.BDH("XOM US Equity","INVTRY_IN_PROGRESS","FQ2 1999","FQ2 1999","Currency=USD","Period=FQ","BEST_FPERIOD_OVERRIDE=FQ","FILING_STATUS=OR","SCALING_FORMAT=MLN","Sort=A","Dates=H","DateFormat=P","Fill=—","Direction=H","UseDPDF=Y")</f>
        <v>0</v>
      </c>
      <c r="G14" s="13">
        <f>_xll.BDH("XOM US Equity","INVTRY_IN_PROGRESS","FQ3 1999","FQ3 1999","Currency=USD","Period=FQ","BEST_FPERIOD_OVERRIDE=FQ","FILING_STATUS=OR","SCALING_FORMAT=MLN","Sort=A","Dates=H","DateFormat=P","Fill=—","Direction=H","UseDPDF=Y")</f>
        <v>0</v>
      </c>
      <c r="H14" s="13">
        <f>_xll.BDH("XOM US Equity","INVTRY_IN_PROGRESS","FQ4 1999","FQ4 1999","Currency=USD","Period=FQ","BEST_FPERIOD_OVERRIDE=FQ","FILING_STATUS=OR","SCALING_FORMAT=MLN","Sort=A","Dates=H","DateFormat=P","Fill=—","Direction=H","UseDPDF=Y")</f>
        <v>5898</v>
      </c>
      <c r="I14" s="13">
        <f>_xll.BDH("XOM US Equity","INVTRY_IN_PROGRESS","FQ1 2000","FQ1 2000","Currency=USD","Period=FQ","BEST_FPERIOD_OVERRIDE=FQ","FILING_STATUS=OR","SCALING_FORMAT=MLN","Sort=A","Dates=H","DateFormat=P","Fill=—","Direction=H","UseDPDF=Y")</f>
        <v>0</v>
      </c>
      <c r="J14" s="13">
        <f>_xll.BDH("XOM US Equity","INVTRY_IN_PROGRESS","FQ2 2000","FQ2 2000","Currency=USD","Period=FQ","BEST_FPERIOD_OVERRIDE=FQ","FILING_STATUS=OR","SCALING_FORMAT=MLN","Sort=A","Dates=H","DateFormat=P","Fill=—","Direction=H","UseDPDF=Y")</f>
        <v>0</v>
      </c>
      <c r="K14" s="13">
        <f>_xll.BDH("XOM US Equity","INVTRY_IN_PROGRESS","FQ3 2000","FQ3 2000","Currency=USD","Period=FQ","BEST_FPERIOD_OVERRIDE=FQ","FILING_STATUS=OR","SCALING_FORMAT=MLN","Sort=A","Dates=H","DateFormat=P","Fill=—","Direction=H","UseDPDF=Y")</f>
        <v>0</v>
      </c>
      <c r="L14" s="13">
        <f>_xll.BDH("XOM US Equity","INVTRY_IN_PROGRESS","FQ4 2000","FQ4 2000","Currency=USD","Period=FQ","BEST_FPERIOD_OVERRIDE=FQ","FILING_STATUS=OR","SCALING_FORMAT=MLN","Sort=A","Dates=H","DateFormat=P","Fill=—","Direction=H","UseDPDF=Y")</f>
        <v>0</v>
      </c>
      <c r="M14" s="13">
        <f>_xll.BDH("XOM US Equity","INVTRY_IN_PROGRESS","FQ1 2001","FQ1 2001","Currency=USD","Period=FQ","BEST_FPERIOD_OVERRIDE=FQ","FILING_STATUS=OR","SCALING_FORMAT=MLN","Sort=A","Dates=H","DateFormat=P","Fill=—","Direction=H","UseDPDF=Y")</f>
        <v>0</v>
      </c>
      <c r="N14" s="13">
        <f>_xll.BDH("XOM US Equity","INVTRY_IN_PROGRESS","FQ2 2001","FQ2 2001","Currency=USD","Period=FQ","BEST_FPERIOD_OVERRIDE=FQ","FILING_STATUS=OR","SCALING_FORMAT=MLN","Sort=A","Dates=H","DateFormat=P","Fill=—","Direction=H","UseDPDF=Y")</f>
        <v>0</v>
      </c>
      <c r="O14" s="13">
        <f>_xll.BDH("XOM US Equity","INVTRY_IN_PROGRESS","FQ3 2001","FQ3 2001","Currency=USD","Period=FQ","BEST_FPERIOD_OVERRIDE=FQ","FILING_STATUS=OR","SCALING_FORMAT=MLN","Sort=A","Dates=H","DateFormat=P","Fill=—","Direction=H","UseDPDF=Y")</f>
        <v>0</v>
      </c>
      <c r="P14" s="13">
        <f>_xll.BDH("XOM US Equity","INVTRY_IN_PROGRESS","FQ4 2001","FQ4 2001","Currency=USD","Period=FQ","BEST_FPERIOD_OVERRIDE=FQ","FILING_STATUS=OR","SCALING_FORMAT=MLN","Sort=A","Dates=H","DateFormat=P","Fill=—","Direction=H","UseDPDF=Y")</f>
        <v>0</v>
      </c>
      <c r="Q14" s="13">
        <f>_xll.BDH("XOM US Equity","INVTRY_IN_PROGRESS","FQ1 2002","FQ1 2002","Currency=USD","Period=FQ","BEST_FPERIOD_OVERRIDE=FQ","FILING_STATUS=OR","SCALING_FORMAT=MLN","Sort=A","Dates=H","DateFormat=P","Fill=—","Direction=H","UseDPDF=Y")</f>
        <v>0</v>
      </c>
      <c r="R14" s="13">
        <f>_xll.BDH("XOM US Equity","INVTRY_IN_PROGRESS","FQ2 2002","FQ2 2002","Currency=USD","Period=FQ","BEST_FPERIOD_OVERRIDE=FQ","FILING_STATUS=OR","SCALING_FORMAT=MLN","Sort=A","Dates=H","DateFormat=P","Fill=—","Direction=H","UseDPDF=Y")</f>
        <v>0</v>
      </c>
      <c r="S14" s="13">
        <f>_xll.BDH("XOM US Equity","INVTRY_IN_PROGRESS","FQ3 2002","FQ3 2002","Currency=USD","Period=FQ","BEST_FPERIOD_OVERRIDE=FQ","FILING_STATUS=OR","SCALING_FORMAT=MLN","Sort=A","Dates=H","DateFormat=P","Fill=—","Direction=H","UseDPDF=Y")</f>
        <v>0</v>
      </c>
      <c r="T14" s="13">
        <f>_xll.BDH("XOM US Equity","INVTRY_IN_PROGRESS","FQ4 2002","FQ4 2002","Currency=USD","Period=FQ","BEST_FPERIOD_OVERRIDE=FQ","FILING_STATUS=OR","SCALING_FORMAT=MLN","Sort=A","Dates=H","DateFormat=P","Fill=—","Direction=H","UseDPDF=Y")</f>
        <v>0</v>
      </c>
      <c r="U14" s="13">
        <f>_xll.BDH("XOM US Equity","INVTRY_IN_PROGRESS","FQ1 2003","FQ1 2003","Currency=USD","Period=FQ","BEST_FPERIOD_OVERRIDE=FQ","FILING_STATUS=OR","SCALING_FORMAT=MLN","Sort=A","Dates=H","DateFormat=P","Fill=—","Direction=H","UseDPDF=Y")</f>
        <v>0</v>
      </c>
      <c r="V14" s="13">
        <f>_xll.BDH("XOM US Equity","INVTRY_IN_PROGRESS","FQ2 2003","FQ2 2003","Currency=USD","Period=FQ","BEST_FPERIOD_OVERRIDE=FQ","FILING_STATUS=OR","SCALING_FORMAT=MLN","Sort=A","Dates=H","DateFormat=P","Fill=—","Direction=H","UseDPDF=Y")</f>
        <v>0</v>
      </c>
      <c r="W14" s="13">
        <f>_xll.BDH("XOM US Equity","INVTRY_IN_PROGRESS","FQ3 2003","FQ3 2003","Currency=USD","Period=FQ","BEST_FPERIOD_OVERRIDE=FQ","FILING_STATUS=OR","SCALING_FORMAT=MLN","Sort=A","Dates=H","DateFormat=P","Fill=—","Direction=H","UseDPDF=Y")</f>
        <v>0</v>
      </c>
      <c r="X14" s="13">
        <f>_xll.BDH("XOM US Equity","INVTRY_IN_PROGRESS","FQ4 2003","FQ4 2003","Currency=USD","Period=FQ","BEST_FPERIOD_OVERRIDE=FQ","FILING_STATUS=OR","SCALING_FORMAT=MLN","Sort=A","Dates=H","DateFormat=P","Fill=—","Direction=H","UseDPDF=Y")</f>
        <v>0</v>
      </c>
      <c r="Y14" s="13">
        <f>_xll.BDH("XOM US Equity","INVTRY_IN_PROGRESS","FQ1 2004","FQ1 2004","Currency=USD","Period=FQ","BEST_FPERIOD_OVERRIDE=FQ","FILING_STATUS=OR","SCALING_FORMAT=MLN","Sort=A","Dates=H","DateFormat=P","Fill=—","Direction=H","UseDPDF=Y")</f>
        <v>0</v>
      </c>
      <c r="Z14" s="13">
        <f>_xll.BDH("XOM US Equity","INVTRY_IN_PROGRESS","FQ2 2004","FQ2 2004","Currency=USD","Period=FQ","BEST_FPERIOD_OVERRIDE=FQ","FILING_STATUS=OR","SCALING_FORMAT=MLN","Sort=A","Dates=H","DateFormat=P","Fill=—","Direction=H","UseDPDF=Y")</f>
        <v>0</v>
      </c>
      <c r="AA14" s="13">
        <f>_xll.BDH("XOM US Equity","INVTRY_IN_PROGRESS","FQ3 2004","FQ3 2004","Currency=USD","Period=FQ","BEST_FPERIOD_OVERRIDE=FQ","FILING_STATUS=OR","SCALING_FORMAT=MLN","Sort=A","Dates=H","DateFormat=P","Fill=—","Direction=H","UseDPDF=Y")</f>
        <v>0</v>
      </c>
      <c r="AB14" s="13">
        <f>_xll.BDH("XOM US Equity","INVTRY_IN_PROGRESS","FQ4 2004","FQ4 2004","Currency=USD","Period=FQ","BEST_FPERIOD_OVERRIDE=FQ","FILING_STATUS=OR","SCALING_FORMAT=MLN","Sort=A","Dates=H","DateFormat=P","Fill=—","Direction=H","UseDPDF=Y")</f>
        <v>0</v>
      </c>
      <c r="AC14" s="13">
        <f>_xll.BDH("XOM US Equity","INVTRY_IN_PROGRESS","FQ1 2005","FQ1 2005","Currency=USD","Period=FQ","BEST_FPERIOD_OVERRIDE=FQ","FILING_STATUS=OR","SCALING_FORMAT=MLN","Sort=A","Dates=H","DateFormat=P","Fill=—","Direction=H","UseDPDF=Y")</f>
        <v>0</v>
      </c>
      <c r="AD14" s="13">
        <f>_xll.BDH("XOM US Equity","INVTRY_IN_PROGRESS","FQ2 2005","FQ2 2005","Currency=USD","Period=FQ","BEST_FPERIOD_OVERRIDE=FQ","FILING_STATUS=OR","SCALING_FORMAT=MLN","Sort=A","Dates=H","DateFormat=P","Fill=—","Direction=H","UseDPDF=Y")</f>
        <v>0</v>
      </c>
      <c r="AE14" s="13">
        <f>_xll.BDH("XOM US Equity","INVTRY_IN_PROGRESS","FQ3 2005","FQ3 2005","Currency=USD","Period=FQ","BEST_FPERIOD_OVERRIDE=FQ","FILING_STATUS=OR","SCALING_FORMAT=MLN","Sort=A","Dates=H","DateFormat=P","Fill=—","Direction=H","UseDPDF=Y")</f>
        <v>0</v>
      </c>
      <c r="AF14" s="13">
        <f>_xll.BDH("XOM US Equity","INVTRY_IN_PROGRESS","FQ4 2005","FQ4 2005","Currency=USD","Period=FQ","BEST_FPERIOD_OVERRIDE=FQ","FILING_STATUS=OR","SCALING_FORMAT=MLN","Sort=A","Dates=H","DateFormat=P","Fill=—","Direction=H","UseDPDF=Y")</f>
        <v>0</v>
      </c>
      <c r="AG14" s="13" t="str">
        <f>_xll.BDH("XOM US Equity","INVTRY_IN_PROGRESS","FQ1 2006","FQ1 2006","Currency=USD","Period=FQ","BEST_FPERIOD_OVERRIDE=FQ","FILING_STATUS=OR","SCALING_FORMAT=MLN","Sort=A","Dates=H","DateFormat=P","Fill=—","Direction=H","UseDPDF=Y")</f>
        <v>—</v>
      </c>
      <c r="AH14" s="13" t="str">
        <f>_xll.BDH("XOM US Equity","INVTRY_IN_PROGRESS","FQ2 2006","FQ2 2006","Currency=USD","Period=FQ","BEST_FPERIOD_OVERRIDE=FQ","FILING_STATUS=OR","SCALING_FORMAT=MLN","Sort=A","Dates=H","DateFormat=P","Fill=—","Direction=H","UseDPDF=Y")</f>
        <v>—</v>
      </c>
      <c r="AI14" s="13" t="str">
        <f>_xll.BDH("XOM US Equity","INVTRY_IN_PROGRESS","FQ3 2006","FQ3 2006","Currency=USD","Period=FQ","BEST_FPERIOD_OVERRIDE=FQ","FILING_STATUS=OR","SCALING_FORMAT=MLN","Sort=A","Dates=H","DateFormat=P","Fill=—","Direction=H","UseDPDF=Y")</f>
        <v>—</v>
      </c>
      <c r="AJ14" s="13">
        <f>_xll.BDH("XOM US Equity","INVTRY_IN_PROGRESS","FQ4 2006","FQ4 2006","Currency=USD","Period=FQ","BEST_FPERIOD_OVERRIDE=FQ","FILING_STATUS=OR","SCALING_FORMAT=MLN","Sort=A","Dates=H","DateFormat=P","Fill=—","Direction=H","UseDPDF=Y")</f>
        <v>0</v>
      </c>
      <c r="AK14" s="13">
        <f>_xll.BDH("XOM US Equity","INVTRY_IN_PROGRESS","FQ1 2007","FQ1 2007","Currency=USD","Period=FQ","BEST_FPERIOD_OVERRIDE=FQ","FILING_STATUS=OR","SCALING_FORMAT=MLN","Sort=A","Dates=H","DateFormat=P","Fill=—","Direction=H","UseDPDF=Y")</f>
        <v>0</v>
      </c>
      <c r="AL14" s="13">
        <f>_xll.BDH("XOM US Equity","INVTRY_IN_PROGRESS","FQ2 2007","FQ2 2007","Currency=USD","Period=FQ","BEST_FPERIOD_OVERRIDE=FQ","FILING_STATUS=OR","SCALING_FORMAT=MLN","Sort=A","Dates=H","DateFormat=P","Fill=—","Direction=H","UseDPDF=Y")</f>
        <v>0</v>
      </c>
      <c r="AM14" s="13">
        <f>_xll.BDH("XOM US Equity","INVTRY_IN_PROGRESS","FQ3 2007","FQ3 2007","Currency=USD","Period=FQ","BEST_FPERIOD_OVERRIDE=FQ","FILING_STATUS=OR","SCALING_FORMAT=MLN","Sort=A","Dates=H","DateFormat=P","Fill=—","Direction=H","UseDPDF=Y")</f>
        <v>0</v>
      </c>
      <c r="AN14" s="13">
        <f>_xll.BDH("XOM US Equity","INVTRY_IN_PROGRESS","FQ4 2007","FQ4 2007","Currency=USD","Period=FQ","BEST_FPERIOD_OVERRIDE=FQ","FILING_STATUS=OR","SCALING_FORMAT=MLN","Sort=A","Dates=H","DateFormat=P","Fill=—","Direction=H","UseDPDF=Y")</f>
        <v>0</v>
      </c>
      <c r="AO14" s="13">
        <f>_xll.BDH("XOM US Equity","INVTRY_IN_PROGRESS","FQ1 2008","FQ1 2008","Currency=USD","Period=FQ","BEST_FPERIOD_OVERRIDE=FQ","FILING_STATUS=OR","SCALING_FORMAT=MLN","Sort=A","Dates=H","DateFormat=P","Fill=—","Direction=H","UseDPDF=Y")</f>
        <v>0</v>
      </c>
      <c r="AP14" s="13">
        <f>_xll.BDH("XOM US Equity","INVTRY_IN_PROGRESS","FQ2 2008","FQ2 2008","Currency=USD","Period=FQ","BEST_FPERIOD_OVERRIDE=FQ","FILING_STATUS=OR","SCALING_FORMAT=MLN","Sort=A","Dates=H","DateFormat=P","Fill=—","Direction=H","UseDPDF=Y")</f>
        <v>0</v>
      </c>
    </row>
    <row r="15" spans="1:42" x14ac:dyDescent="0.25">
      <c r="A15" s="10" t="s">
        <v>193</v>
      </c>
      <c r="B15" s="10" t="s">
        <v>194</v>
      </c>
      <c r="C15" s="13">
        <f>_xll.BDH("XOM US Equity","INVTRY_FINISHED_GOODS","FQ3 1998","FQ3 1998","Currency=USD","Period=FQ","BEST_FPERIOD_OVERRIDE=FQ","FILING_STATUS=OR","SCALING_FORMAT=MLN","Sort=A","Dates=H","DateFormat=P","Fill=—","Direction=H","UseDPDF=Y")</f>
        <v>4704</v>
      </c>
      <c r="D15" s="13">
        <f>_xll.BDH("XOM US Equity","INVTRY_FINISHED_GOODS","FQ4 1998","FQ4 1998","Currency=USD","Period=FQ","BEST_FPERIOD_OVERRIDE=FQ","FILING_STATUS=OR","SCALING_FORMAT=MLN","Sort=A","Dates=H","DateFormat=P","Fill=—","Direction=H","UseDPDF=Y")</f>
        <v>4896</v>
      </c>
      <c r="E15" s="13">
        <f>_xll.BDH("XOM US Equity","INVTRY_FINISHED_GOODS","FQ1 1999","FQ1 1999","Currency=USD","Period=FQ","BEST_FPERIOD_OVERRIDE=FQ","FILING_STATUS=OR","SCALING_FORMAT=MLN","Sort=A","Dates=H","DateFormat=P","Fill=—","Direction=H","UseDPDF=Y")</f>
        <v>4263</v>
      </c>
      <c r="F15" s="13">
        <f>_xll.BDH("XOM US Equity","INVTRY_FINISHED_GOODS","FQ2 1999","FQ2 1999","Currency=USD","Period=FQ","BEST_FPERIOD_OVERRIDE=FQ","FILING_STATUS=OR","SCALING_FORMAT=MLN","Sort=A","Dates=H","DateFormat=P","Fill=—","Direction=H","UseDPDF=Y")</f>
        <v>4123</v>
      </c>
      <c r="G15" s="13">
        <f>_xll.BDH("XOM US Equity","INVTRY_FINISHED_GOODS","FQ3 1999","FQ3 1999","Currency=USD","Period=FQ","BEST_FPERIOD_OVERRIDE=FQ","FILING_STATUS=OR","SCALING_FORMAT=MLN","Sort=A","Dates=H","DateFormat=P","Fill=—","Direction=H","UseDPDF=Y")</f>
        <v>4220</v>
      </c>
      <c r="H15" s="13">
        <f>_xll.BDH("XOM US Equity","INVTRY_FINISHED_GOODS","FQ4 1999","FQ4 1999","Currency=USD","Period=FQ","BEST_FPERIOD_OVERRIDE=FQ","FILING_STATUS=OR","SCALING_FORMAT=MLN","Sort=A","Dates=H","DateFormat=P","Fill=—","Direction=H","UseDPDF=Y")</f>
        <v>7370</v>
      </c>
      <c r="I15" s="13">
        <f>_xll.BDH("XOM US Equity","INVTRY_FINISHED_GOODS","FQ1 2000","FQ1 2000","Currency=USD","Period=FQ","BEST_FPERIOD_OVERRIDE=FQ","FILING_STATUS=OR","SCALING_FORMAT=MLN","Sort=A","Dates=H","DateFormat=P","Fill=—","Direction=H","UseDPDF=Y")</f>
        <v>7046</v>
      </c>
      <c r="J15" s="13">
        <f>_xll.BDH("XOM US Equity","INVTRY_FINISHED_GOODS","FQ2 2000","FQ2 2000","Currency=USD","Period=FQ","BEST_FPERIOD_OVERRIDE=FQ","FILING_STATUS=OR","SCALING_FORMAT=MLN","Sort=A","Dates=H","DateFormat=P","Fill=—","Direction=H","UseDPDF=Y")</f>
        <v>7444</v>
      </c>
      <c r="K15" s="13">
        <f>_xll.BDH("XOM US Equity","INVTRY_FINISHED_GOODS","FQ3 2000","FQ3 2000","Currency=USD","Period=FQ","BEST_FPERIOD_OVERRIDE=FQ","FILING_STATUS=OR","SCALING_FORMAT=MLN","Sort=A","Dates=H","DateFormat=P","Fill=—","Direction=H","UseDPDF=Y")</f>
        <v>7446</v>
      </c>
      <c r="L15" s="13">
        <f>_xll.BDH("XOM US Equity","INVTRY_FINISHED_GOODS","FQ4 2000","FQ4 2000","Currency=USD","Period=FQ","BEST_FPERIOD_OVERRIDE=FQ","FILING_STATUS=OR","SCALING_FORMAT=MLN","Sort=A","Dates=H","DateFormat=P","Fill=—","Direction=H","UseDPDF=Y")</f>
        <v>7244</v>
      </c>
      <c r="M15" s="13">
        <f>_xll.BDH("XOM US Equity","INVTRY_FINISHED_GOODS","FQ1 2001","FQ1 2001","Currency=USD","Period=FQ","BEST_FPERIOD_OVERRIDE=FQ","FILING_STATUS=OR","SCALING_FORMAT=MLN","Sort=A","Dates=H","DateFormat=P","Fill=—","Direction=H","UseDPDF=Y")</f>
        <v>7329</v>
      </c>
      <c r="N15" s="13">
        <f>_xll.BDH("XOM US Equity","INVTRY_FINISHED_GOODS","FQ2 2001","FQ2 2001","Currency=USD","Period=FQ","BEST_FPERIOD_OVERRIDE=FQ","FILING_STATUS=OR","SCALING_FORMAT=MLN","Sort=A","Dates=H","DateFormat=P","Fill=—","Direction=H","UseDPDF=Y")</f>
        <v>7293</v>
      </c>
      <c r="O15" s="13">
        <f>_xll.BDH("XOM US Equity","INVTRY_FINISHED_GOODS","FQ3 2001","FQ3 2001","Currency=USD","Period=FQ","BEST_FPERIOD_OVERRIDE=FQ","FILING_STATUS=OR","SCALING_FORMAT=MLN","Sort=A","Dates=H","DateFormat=P","Fill=—","Direction=H","UseDPDF=Y")</f>
        <v>7470</v>
      </c>
      <c r="P15" s="13">
        <f>_xll.BDH("XOM US Equity","INVTRY_FINISHED_GOODS","FQ4 2001","FQ4 2001","Currency=USD","Period=FQ","BEST_FPERIOD_OVERRIDE=FQ","FILING_STATUS=OR","SCALING_FORMAT=MLN","Sort=A","Dates=H","DateFormat=P","Fill=—","Direction=H","UseDPDF=Y")</f>
        <v>6743</v>
      </c>
      <c r="Q15" s="13">
        <f>_xll.BDH("XOM US Equity","INVTRY_FINISHED_GOODS","FQ1 2002","FQ1 2002","Currency=USD","Period=FQ","BEST_FPERIOD_OVERRIDE=FQ","FILING_STATUS=OR","SCALING_FORMAT=MLN","Sort=A","Dates=H","DateFormat=P","Fill=—","Direction=H","UseDPDF=Y")</f>
        <v>7154</v>
      </c>
      <c r="R15" s="13">
        <f>_xll.BDH("XOM US Equity","INVTRY_FINISHED_GOODS","FQ2 2002","FQ2 2002","Currency=USD","Period=FQ","BEST_FPERIOD_OVERRIDE=FQ","FILING_STATUS=OR","SCALING_FORMAT=MLN","Sort=A","Dates=H","DateFormat=P","Fill=—","Direction=H","UseDPDF=Y")</f>
        <v>7412</v>
      </c>
      <c r="S15" s="13">
        <f>_xll.BDH("XOM US Equity","INVTRY_FINISHED_GOODS","FQ3 2002","FQ3 2002","Currency=USD","Period=FQ","BEST_FPERIOD_OVERRIDE=FQ","FILING_STATUS=OR","SCALING_FORMAT=MLN","Sort=A","Dates=H","DateFormat=P","Fill=—","Direction=H","UseDPDF=Y")</f>
        <v>7472</v>
      </c>
      <c r="T15" s="13">
        <f>_xll.BDH("XOM US Equity","INVTRY_FINISHED_GOODS","FQ4 2002","FQ4 2002","Currency=USD","Period=FQ","BEST_FPERIOD_OVERRIDE=FQ","FILING_STATUS=OR","SCALING_FORMAT=MLN","Sort=A","Dates=H","DateFormat=P","Fill=—","Direction=H","UseDPDF=Y")</f>
        <v>6827</v>
      </c>
      <c r="U15" s="13">
        <f>_xll.BDH("XOM US Equity","INVTRY_FINISHED_GOODS","FQ1 2003","FQ1 2003","Currency=USD","Period=FQ","BEST_FPERIOD_OVERRIDE=FQ","FILING_STATUS=OR","SCALING_FORMAT=MLN","Sort=A","Dates=H","DateFormat=P","Fill=—","Direction=H","UseDPDF=Y")</f>
        <v>7620</v>
      </c>
      <c r="V15" s="13">
        <f>_xll.BDH("XOM US Equity","INVTRY_FINISHED_GOODS","FQ2 2003","FQ2 2003","Currency=USD","Period=FQ","BEST_FPERIOD_OVERRIDE=FQ","FILING_STATUS=OR","SCALING_FORMAT=MLN","Sort=A","Dates=H","DateFormat=P","Fill=—","Direction=H","UseDPDF=Y")</f>
        <v>8783</v>
      </c>
      <c r="W15" s="13">
        <f>_xll.BDH("XOM US Equity","INVTRY_FINISHED_GOODS","FQ3 2003","FQ3 2003","Currency=USD","Period=FQ","BEST_FPERIOD_OVERRIDE=FQ","FILING_STATUS=OR","SCALING_FORMAT=MLN","Sort=A","Dates=H","DateFormat=P","Fill=—","Direction=H","UseDPDF=Y")</f>
        <v>8475</v>
      </c>
      <c r="X15" s="13">
        <f>_xll.BDH("XOM US Equity","INVTRY_FINISHED_GOODS","FQ4 2003","FQ4 2003","Currency=USD","Period=FQ","BEST_FPERIOD_OVERRIDE=FQ","FILING_STATUS=OR","SCALING_FORMAT=MLN","Sort=A","Dates=H","DateFormat=P","Fill=—","Direction=H","UseDPDF=Y")</f>
        <v>7665</v>
      </c>
      <c r="Y15" s="13">
        <f>_xll.BDH("XOM US Equity","INVTRY_FINISHED_GOODS","FQ1 2004","FQ1 2004","Currency=USD","Period=FQ","BEST_FPERIOD_OVERRIDE=FQ","FILING_STATUS=OR","SCALING_FORMAT=MLN","Sort=A","Dates=H","DateFormat=P","Fill=—","Direction=H","UseDPDF=Y")</f>
        <v>8892</v>
      </c>
      <c r="Z15" s="13">
        <f>_xll.BDH("XOM US Equity","INVTRY_FINISHED_GOODS","FQ2 2004","FQ2 2004","Currency=USD","Period=FQ","BEST_FPERIOD_OVERRIDE=FQ","FILING_STATUS=OR","SCALING_FORMAT=MLN","Sort=A","Dates=H","DateFormat=P","Fill=—","Direction=H","UseDPDF=Y")</f>
        <v>8680</v>
      </c>
      <c r="AA15" s="13">
        <f>_xll.BDH("XOM US Equity","INVTRY_FINISHED_GOODS","FQ3 2004","FQ3 2004","Currency=USD","Period=FQ","BEST_FPERIOD_OVERRIDE=FQ","FILING_STATUS=OR","SCALING_FORMAT=MLN","Sort=A","Dates=H","DateFormat=P","Fill=—","Direction=H","UseDPDF=Y")</f>
        <v>8750</v>
      </c>
      <c r="AB15" s="13">
        <f>_xll.BDH("XOM US Equity","INVTRY_FINISHED_GOODS","FQ4 2004","FQ4 2004","Currency=USD","Period=FQ","BEST_FPERIOD_OVERRIDE=FQ","FILING_STATUS=OR","SCALING_FORMAT=MLN","Sort=A","Dates=H","DateFormat=P","Fill=—","Direction=H","UseDPDF=Y")</f>
        <v>8136</v>
      </c>
      <c r="AC15" s="13">
        <f>_xll.BDH("XOM US Equity","INVTRY_FINISHED_GOODS","FQ1 2005","FQ1 2005","Currency=USD","Period=FQ","BEST_FPERIOD_OVERRIDE=FQ","FILING_STATUS=OR","SCALING_FORMAT=MLN","Sort=A","Dates=H","DateFormat=P","Fill=—","Direction=H","UseDPDF=Y")</f>
        <v>9124</v>
      </c>
      <c r="AD15" s="13">
        <f>_xll.BDH("XOM US Equity","INVTRY_FINISHED_GOODS","FQ2 2005","FQ2 2005","Currency=USD","Period=FQ","BEST_FPERIOD_OVERRIDE=FQ","FILING_STATUS=OR","SCALING_FORMAT=MLN","Sort=A","Dates=H","DateFormat=P","Fill=—","Direction=H","UseDPDF=Y")</f>
        <v>9219</v>
      </c>
      <c r="AE15" s="13">
        <f>_xll.BDH("XOM US Equity","INVTRY_FINISHED_GOODS","FQ3 2005","FQ3 2005","Currency=USD","Period=FQ","BEST_FPERIOD_OVERRIDE=FQ","FILING_STATUS=OR","SCALING_FORMAT=MLN","Sort=A","Dates=H","DateFormat=P","Fill=—","Direction=H","UseDPDF=Y")</f>
        <v>9577</v>
      </c>
      <c r="AF15" s="13">
        <f>_xll.BDH("XOM US Equity","INVTRY_FINISHED_GOODS","FQ4 2005","FQ4 2005","Currency=USD","Period=FQ","BEST_FPERIOD_OVERRIDE=FQ","FILING_STATUS=OR","SCALING_FORMAT=MLN","Sort=A","Dates=H","DateFormat=P","Fill=—","Direction=H","UseDPDF=Y")</f>
        <v>7852</v>
      </c>
      <c r="AG15" s="13">
        <f>_xll.BDH("XOM US Equity","INVTRY_FINISHED_GOODS","FQ1 2006","FQ1 2006","Currency=USD","Period=FQ","BEST_FPERIOD_OVERRIDE=FQ","FILING_STATUS=OR","SCALING_FORMAT=MLN","Sort=A","Dates=H","DateFormat=P","Fill=—","Direction=H","UseDPDF=Y")</f>
        <v>10048</v>
      </c>
      <c r="AH15" s="13">
        <f>_xll.BDH("XOM US Equity","INVTRY_FINISHED_GOODS","FQ2 2006","FQ2 2006","Currency=USD","Period=FQ","BEST_FPERIOD_OVERRIDE=FQ","FILING_STATUS=OR","SCALING_FORMAT=MLN","Sort=A","Dates=H","DateFormat=P","Fill=—","Direction=H","UseDPDF=Y")</f>
        <v>10233</v>
      </c>
      <c r="AI15" s="13">
        <f>_xll.BDH("XOM US Equity","INVTRY_FINISHED_GOODS","FQ3 2006","FQ3 2006","Currency=USD","Period=FQ","BEST_FPERIOD_OVERRIDE=FQ","FILING_STATUS=OR","SCALING_FORMAT=MLN","Sort=A","Dates=H","DateFormat=P","Fill=—","Direction=H","UseDPDF=Y")</f>
        <v>10858</v>
      </c>
      <c r="AJ15" s="13">
        <f>_xll.BDH("XOM US Equity","INVTRY_FINISHED_GOODS","FQ4 2006","FQ4 2006","Currency=USD","Period=FQ","BEST_FPERIOD_OVERRIDE=FQ","FILING_STATUS=OR","SCALING_FORMAT=MLN","Sort=A","Dates=H","DateFormat=P","Fill=—","Direction=H","UseDPDF=Y")</f>
        <v>8979</v>
      </c>
      <c r="AK15" s="13">
        <f>_xll.BDH("XOM US Equity","INVTRY_FINISHED_GOODS","FQ1 2007","FQ1 2007","Currency=USD","Period=FQ","BEST_FPERIOD_OVERRIDE=FQ","FILING_STATUS=OR","SCALING_FORMAT=MLN","Sort=A","Dates=H","DateFormat=P","Fill=—","Direction=H","UseDPDF=Y")</f>
        <v>10759</v>
      </c>
      <c r="AL15" s="13">
        <f>_xll.BDH("XOM US Equity","INVTRY_FINISHED_GOODS","FQ2 2007","FQ2 2007","Currency=USD","Period=FQ","BEST_FPERIOD_OVERRIDE=FQ","FILING_STATUS=OR","SCALING_FORMAT=MLN","Sort=A","Dates=H","DateFormat=P","Fill=—","Direction=H","UseDPDF=Y")</f>
        <v>10866</v>
      </c>
      <c r="AM15" s="13">
        <f>_xll.BDH("XOM US Equity","INVTRY_FINISHED_GOODS","FQ3 2007","FQ3 2007","Currency=USD","Period=FQ","BEST_FPERIOD_OVERRIDE=FQ","FILING_STATUS=OR","SCALING_FORMAT=MLN","Sort=A","Dates=H","DateFormat=P","Fill=—","Direction=H","UseDPDF=Y")</f>
        <v>10883</v>
      </c>
      <c r="AN15" s="13">
        <f>_xll.BDH("XOM US Equity","INVTRY_FINISHED_GOODS","FQ4 2007","FQ4 2007","Currency=USD","Period=FQ","BEST_FPERIOD_OVERRIDE=FQ","FILING_STATUS=OR","SCALING_FORMAT=MLN","Sort=A","Dates=H","DateFormat=P","Fill=—","Direction=H","UseDPDF=Y")</f>
        <v>8863</v>
      </c>
      <c r="AO15" s="13">
        <f>_xll.BDH("XOM US Equity","INVTRY_FINISHED_GOODS","FQ1 2008","FQ1 2008","Currency=USD","Period=FQ","BEST_FPERIOD_OVERRIDE=FQ","FILING_STATUS=OR","SCALING_FORMAT=MLN","Sort=A","Dates=H","DateFormat=P","Fill=—","Direction=H","UseDPDF=Y")</f>
        <v>13075</v>
      </c>
      <c r="AP15" s="13">
        <f>_xll.BDH("XOM US Equity","INVTRY_FINISHED_GOODS","FQ2 2008","FQ2 2008","Currency=USD","Period=FQ","BEST_FPERIOD_OVERRIDE=FQ","FILING_STATUS=OR","SCALING_FORMAT=MLN","Sort=A","Dates=H","DateFormat=P","Fill=—","Direction=H","UseDPDF=Y")</f>
        <v>13513</v>
      </c>
    </row>
    <row r="16" spans="1:42" x14ac:dyDescent="0.25">
      <c r="A16" s="10" t="s">
        <v>195</v>
      </c>
      <c r="B16" s="10" t="s">
        <v>196</v>
      </c>
      <c r="C16" s="13" t="str">
        <f>_xll.BDH("XOM US Equity","BS_OTHER_INV","FQ3 1998","FQ3 1998","Currency=USD","Period=FQ","BEST_FPERIOD_OVERRIDE=FQ","FILING_STATUS=OR","SCALING_FORMAT=MLN","Sort=A","Dates=H","DateFormat=P","Fill=—","Direction=H","UseDPDF=Y")</f>
        <v>—</v>
      </c>
      <c r="D16" s="13">
        <f>_xll.BDH("XOM US Equity","BS_OTHER_INV","FQ4 1998","FQ4 1998","Currency=USD","Period=FQ","BEST_FPERIOD_OVERRIDE=FQ","FILING_STATUS=OR","SCALING_FORMAT=MLN","Sort=A","Dates=H","DateFormat=P","Fill=—","Direction=H","UseDPDF=Y")</f>
        <v>709</v>
      </c>
      <c r="E16" s="13" t="str">
        <f>_xll.BDH("XOM US Equity","BS_OTHER_INV","FQ1 1999","FQ1 1999","Currency=USD","Period=FQ","BEST_FPERIOD_OVERRIDE=FQ","FILING_STATUS=OR","SCALING_FORMAT=MLN","Sort=A","Dates=H","DateFormat=P","Fill=—","Direction=H","UseDPDF=Y")</f>
        <v>—</v>
      </c>
      <c r="F16" s="13" t="str">
        <f>_xll.BDH("XOM US Equity","BS_OTHER_INV","FQ2 1999","FQ2 1999","Currency=USD","Period=FQ","BEST_FPERIOD_OVERRIDE=FQ","FILING_STATUS=OR","SCALING_FORMAT=MLN","Sort=A","Dates=H","DateFormat=P","Fill=—","Direction=H","UseDPDF=Y")</f>
        <v>—</v>
      </c>
      <c r="G16" s="13">
        <f>_xll.BDH("XOM US Equity","BS_OTHER_INV","FQ3 1999","FQ3 1999","Currency=USD","Period=FQ","BEST_FPERIOD_OVERRIDE=FQ","FILING_STATUS=OR","SCALING_FORMAT=MLN","Sort=A","Dates=H","DateFormat=P","Fill=—","Direction=H","UseDPDF=Y")</f>
        <v>0</v>
      </c>
      <c r="H16" s="13">
        <f>_xll.BDH("XOM US Equity","BS_OTHER_INV","FQ4 1999","FQ4 1999","Currency=USD","Period=FQ","BEST_FPERIOD_OVERRIDE=FQ","FILING_STATUS=OR","SCALING_FORMAT=MLN","Sort=A","Dates=H","DateFormat=P","Fill=—","Direction=H","UseDPDF=Y")</f>
        <v>-5898</v>
      </c>
      <c r="I16" s="13">
        <f>_xll.BDH("XOM US Equity","BS_OTHER_INV","FQ1 2000","FQ1 2000","Currency=USD","Period=FQ","BEST_FPERIOD_OVERRIDE=FQ","FILING_STATUS=OR","SCALING_FORMAT=MLN","Sort=A","Dates=H","DateFormat=P","Fill=—","Direction=H","UseDPDF=Y")</f>
        <v>0</v>
      </c>
      <c r="J16" s="13">
        <f>_xll.BDH("XOM US Equity","BS_OTHER_INV","FQ2 2000","FQ2 2000","Currency=USD","Period=FQ","BEST_FPERIOD_OVERRIDE=FQ","FILING_STATUS=OR","SCALING_FORMAT=MLN","Sort=A","Dates=H","DateFormat=P","Fill=—","Direction=H","UseDPDF=Y")</f>
        <v>0</v>
      </c>
      <c r="K16" s="13">
        <f>_xll.BDH("XOM US Equity","BS_OTHER_INV","FQ3 2000","FQ3 2000","Currency=USD","Period=FQ","BEST_FPERIOD_OVERRIDE=FQ","FILING_STATUS=OR","SCALING_FORMAT=MLN","Sort=A","Dates=H","DateFormat=P","Fill=—","Direction=H","UseDPDF=Y")</f>
        <v>0</v>
      </c>
      <c r="L16" s="13">
        <f>_xll.BDH("XOM US Equity","BS_OTHER_INV","FQ4 2000","FQ4 2000","Currency=USD","Period=FQ","BEST_FPERIOD_OVERRIDE=FQ","FILING_STATUS=OR","SCALING_FORMAT=MLN","Sort=A","Dates=H","DateFormat=P","Fill=—","Direction=H","UseDPDF=Y")</f>
        <v>0</v>
      </c>
      <c r="M16" s="13">
        <f>_xll.BDH("XOM US Equity","BS_OTHER_INV","FQ1 2001","FQ1 2001","Currency=USD","Period=FQ","BEST_FPERIOD_OVERRIDE=FQ","FILING_STATUS=OR","SCALING_FORMAT=MLN","Sort=A","Dates=H","DateFormat=P","Fill=—","Direction=H","UseDPDF=Y")</f>
        <v>0</v>
      </c>
      <c r="N16" s="13">
        <f>_xll.BDH("XOM US Equity","BS_OTHER_INV","FQ2 2001","FQ2 2001","Currency=USD","Period=FQ","BEST_FPERIOD_OVERRIDE=FQ","FILING_STATUS=OR","SCALING_FORMAT=MLN","Sort=A","Dates=H","DateFormat=P","Fill=—","Direction=H","UseDPDF=Y")</f>
        <v>0</v>
      </c>
      <c r="O16" s="13">
        <f>_xll.BDH("XOM US Equity","BS_OTHER_INV","FQ3 2001","FQ3 2001","Currency=USD","Period=FQ","BEST_FPERIOD_OVERRIDE=FQ","FILING_STATUS=OR","SCALING_FORMAT=MLN","Sort=A","Dates=H","DateFormat=P","Fill=—","Direction=H","UseDPDF=Y")</f>
        <v>0</v>
      </c>
      <c r="P16" s="13">
        <f>_xll.BDH("XOM US Equity","BS_OTHER_INV","FQ4 2001","FQ4 2001","Currency=USD","Period=FQ","BEST_FPERIOD_OVERRIDE=FQ","FILING_STATUS=OR","SCALING_FORMAT=MLN","Sort=A","Dates=H","DateFormat=P","Fill=—","Direction=H","UseDPDF=Y")</f>
        <v>0</v>
      </c>
      <c r="Q16" s="13">
        <f>_xll.BDH("XOM US Equity","BS_OTHER_INV","FQ1 2002","FQ1 2002","Currency=USD","Period=FQ","BEST_FPERIOD_OVERRIDE=FQ","FILING_STATUS=OR","SCALING_FORMAT=MLN","Sort=A","Dates=H","DateFormat=P","Fill=—","Direction=H","UseDPDF=Y")</f>
        <v>0</v>
      </c>
      <c r="R16" s="13">
        <f>_xll.BDH("XOM US Equity","BS_OTHER_INV","FQ2 2002","FQ2 2002","Currency=USD","Period=FQ","BEST_FPERIOD_OVERRIDE=FQ","FILING_STATUS=OR","SCALING_FORMAT=MLN","Sort=A","Dates=H","DateFormat=P","Fill=—","Direction=H","UseDPDF=Y")</f>
        <v>0</v>
      </c>
      <c r="S16" s="13">
        <f>_xll.BDH("XOM US Equity","BS_OTHER_INV","FQ3 2002","FQ3 2002","Currency=USD","Period=FQ","BEST_FPERIOD_OVERRIDE=FQ","FILING_STATUS=OR","SCALING_FORMAT=MLN","Sort=A","Dates=H","DateFormat=P","Fill=—","Direction=H","UseDPDF=Y")</f>
        <v>0</v>
      </c>
      <c r="T16" s="13">
        <f>_xll.BDH("XOM US Equity","BS_OTHER_INV","FQ4 2002","FQ4 2002","Currency=USD","Period=FQ","BEST_FPERIOD_OVERRIDE=FQ","FILING_STATUS=OR","SCALING_FORMAT=MLN","Sort=A","Dates=H","DateFormat=P","Fill=—","Direction=H","UseDPDF=Y")</f>
        <v>0</v>
      </c>
      <c r="U16" s="13">
        <f>_xll.BDH("XOM US Equity","BS_OTHER_INV","FQ1 2003","FQ1 2003","Currency=USD","Period=FQ","BEST_FPERIOD_OVERRIDE=FQ","FILING_STATUS=OR","SCALING_FORMAT=MLN","Sort=A","Dates=H","DateFormat=P","Fill=—","Direction=H","UseDPDF=Y")</f>
        <v>0</v>
      </c>
      <c r="V16" s="13">
        <f>_xll.BDH("XOM US Equity","BS_OTHER_INV","FQ2 2003","FQ2 2003","Currency=USD","Period=FQ","BEST_FPERIOD_OVERRIDE=FQ","FILING_STATUS=OR","SCALING_FORMAT=MLN","Sort=A","Dates=H","DateFormat=P","Fill=—","Direction=H","UseDPDF=Y")</f>
        <v>0</v>
      </c>
      <c r="W16" s="13">
        <f>_xll.BDH("XOM US Equity","BS_OTHER_INV","FQ3 2003","FQ3 2003","Currency=USD","Period=FQ","BEST_FPERIOD_OVERRIDE=FQ","FILING_STATUS=OR","SCALING_FORMAT=MLN","Sort=A","Dates=H","DateFormat=P","Fill=—","Direction=H","UseDPDF=Y")</f>
        <v>0</v>
      </c>
      <c r="X16" s="13">
        <f>_xll.BDH("XOM US Equity","BS_OTHER_INV","FQ4 2003","FQ4 2003","Currency=USD","Period=FQ","BEST_FPERIOD_OVERRIDE=FQ","FILING_STATUS=OR","SCALING_FORMAT=MLN","Sort=A","Dates=H","DateFormat=P","Fill=—","Direction=H","UseDPDF=Y")</f>
        <v>0</v>
      </c>
      <c r="Y16" s="13">
        <f>_xll.BDH("XOM US Equity","BS_OTHER_INV","FQ1 2004","FQ1 2004","Currency=USD","Period=FQ","BEST_FPERIOD_OVERRIDE=FQ","FILING_STATUS=OR","SCALING_FORMAT=MLN","Sort=A","Dates=H","DateFormat=P","Fill=—","Direction=H","UseDPDF=Y")</f>
        <v>0</v>
      </c>
      <c r="Z16" s="13">
        <f>_xll.BDH("XOM US Equity","BS_OTHER_INV","FQ2 2004","FQ2 2004","Currency=USD","Period=FQ","BEST_FPERIOD_OVERRIDE=FQ","FILING_STATUS=OR","SCALING_FORMAT=MLN","Sort=A","Dates=H","DateFormat=P","Fill=—","Direction=H","UseDPDF=Y")</f>
        <v>0</v>
      </c>
      <c r="AA16" s="13">
        <f>_xll.BDH("XOM US Equity","BS_OTHER_INV","FQ3 2004","FQ3 2004","Currency=USD","Period=FQ","BEST_FPERIOD_OVERRIDE=FQ","FILING_STATUS=OR","SCALING_FORMAT=MLN","Sort=A","Dates=H","DateFormat=P","Fill=—","Direction=H","UseDPDF=Y")</f>
        <v>0</v>
      </c>
      <c r="AB16" s="13">
        <f>_xll.BDH("XOM US Equity","BS_OTHER_INV","FQ4 2004","FQ4 2004","Currency=USD","Period=FQ","BEST_FPERIOD_OVERRIDE=FQ","FILING_STATUS=OR","SCALING_FORMAT=MLN","Sort=A","Dates=H","DateFormat=P","Fill=—","Direction=H","UseDPDF=Y")</f>
        <v>0</v>
      </c>
      <c r="AC16" s="13">
        <f>_xll.BDH("XOM US Equity","BS_OTHER_INV","FQ1 2005","FQ1 2005","Currency=USD","Period=FQ","BEST_FPERIOD_OVERRIDE=FQ","FILING_STATUS=OR","SCALING_FORMAT=MLN","Sort=A","Dates=H","DateFormat=P","Fill=—","Direction=H","UseDPDF=Y")</f>
        <v>0</v>
      </c>
      <c r="AD16" s="13">
        <f>_xll.BDH("XOM US Equity","BS_OTHER_INV","FQ2 2005","FQ2 2005","Currency=USD","Period=FQ","BEST_FPERIOD_OVERRIDE=FQ","FILING_STATUS=OR","SCALING_FORMAT=MLN","Sort=A","Dates=H","DateFormat=P","Fill=—","Direction=H","UseDPDF=Y")</f>
        <v>0</v>
      </c>
      <c r="AE16" s="13">
        <f>_xll.BDH("XOM US Equity","BS_OTHER_INV","FQ3 2005","FQ3 2005","Currency=USD","Period=FQ","BEST_FPERIOD_OVERRIDE=FQ","FILING_STATUS=OR","SCALING_FORMAT=MLN","Sort=A","Dates=H","DateFormat=P","Fill=—","Direction=H","UseDPDF=Y")</f>
        <v>0</v>
      </c>
      <c r="AF16" s="13">
        <f>_xll.BDH("XOM US Equity","BS_OTHER_INV","FQ4 2005","FQ4 2005","Currency=USD","Period=FQ","BEST_FPERIOD_OVERRIDE=FQ","FILING_STATUS=OR","SCALING_FORMAT=MLN","Sort=A","Dates=H","DateFormat=P","Fill=—","Direction=H","UseDPDF=Y")</f>
        <v>0</v>
      </c>
      <c r="AG16" s="13" t="str">
        <f>_xll.BDH("XOM US Equity","BS_OTHER_INV","FQ1 2006","FQ1 2006","Currency=USD","Period=FQ","BEST_FPERIOD_OVERRIDE=FQ","FILING_STATUS=OR","SCALING_FORMAT=MLN","Sort=A","Dates=H","DateFormat=P","Fill=—","Direction=H","UseDPDF=Y")</f>
        <v>—</v>
      </c>
      <c r="AH16" s="13" t="str">
        <f>_xll.BDH("XOM US Equity","BS_OTHER_INV","FQ2 2006","FQ2 2006","Currency=USD","Period=FQ","BEST_FPERIOD_OVERRIDE=FQ","FILING_STATUS=OR","SCALING_FORMAT=MLN","Sort=A","Dates=H","DateFormat=P","Fill=—","Direction=H","UseDPDF=Y")</f>
        <v>—</v>
      </c>
      <c r="AI16" s="13" t="str">
        <f>_xll.BDH("XOM US Equity","BS_OTHER_INV","FQ3 2006","FQ3 2006","Currency=USD","Period=FQ","BEST_FPERIOD_OVERRIDE=FQ","FILING_STATUS=OR","SCALING_FORMAT=MLN","Sort=A","Dates=H","DateFormat=P","Fill=—","Direction=H","UseDPDF=Y")</f>
        <v>—</v>
      </c>
      <c r="AJ16" s="13">
        <f>_xll.BDH("XOM US Equity","BS_OTHER_INV","FQ4 2006","FQ4 2006","Currency=USD","Period=FQ","BEST_FPERIOD_OVERRIDE=FQ","FILING_STATUS=OR","SCALING_FORMAT=MLN","Sort=A","Dates=H","DateFormat=P","Fill=—","Direction=H","UseDPDF=Y")</f>
        <v>0</v>
      </c>
      <c r="AK16" s="13">
        <f>_xll.BDH("XOM US Equity","BS_OTHER_INV","FQ1 2007","FQ1 2007","Currency=USD","Period=FQ","BEST_FPERIOD_OVERRIDE=FQ","FILING_STATUS=OR","SCALING_FORMAT=MLN","Sort=A","Dates=H","DateFormat=P","Fill=—","Direction=H","UseDPDF=Y")</f>
        <v>0</v>
      </c>
      <c r="AL16" s="13">
        <f>_xll.BDH("XOM US Equity","BS_OTHER_INV","FQ2 2007","FQ2 2007","Currency=USD","Period=FQ","BEST_FPERIOD_OVERRIDE=FQ","FILING_STATUS=OR","SCALING_FORMAT=MLN","Sort=A","Dates=H","DateFormat=P","Fill=—","Direction=H","UseDPDF=Y")</f>
        <v>0</v>
      </c>
      <c r="AM16" s="13">
        <f>_xll.BDH("XOM US Equity","BS_OTHER_INV","FQ3 2007","FQ3 2007","Currency=USD","Period=FQ","BEST_FPERIOD_OVERRIDE=FQ","FILING_STATUS=OR","SCALING_FORMAT=MLN","Sort=A","Dates=H","DateFormat=P","Fill=—","Direction=H","UseDPDF=Y")</f>
        <v>0</v>
      </c>
      <c r="AN16" s="13">
        <f>_xll.BDH("XOM US Equity","BS_OTHER_INV","FQ4 2007","FQ4 2007","Currency=USD","Period=FQ","BEST_FPERIOD_OVERRIDE=FQ","FILING_STATUS=OR","SCALING_FORMAT=MLN","Sort=A","Dates=H","DateFormat=P","Fill=—","Direction=H","UseDPDF=Y")</f>
        <v>0</v>
      </c>
      <c r="AO16" s="13">
        <f>_xll.BDH("XOM US Equity","BS_OTHER_INV","FQ1 2008","FQ1 2008","Currency=USD","Period=FQ","BEST_FPERIOD_OVERRIDE=FQ","FILING_STATUS=OR","SCALING_FORMAT=MLN","Sort=A","Dates=H","DateFormat=P","Fill=—","Direction=H","UseDPDF=Y")</f>
        <v>0</v>
      </c>
      <c r="AP16" s="13">
        <f>_xll.BDH("XOM US Equity","BS_OTHER_INV","FQ2 2008","FQ2 2008","Currency=USD","Period=FQ","BEST_FPERIOD_OVERRIDE=FQ","FILING_STATUS=OR","SCALING_FORMAT=MLN","Sort=A","Dates=H","DateFormat=P","Fill=—","Direction=H","UseDPDF=Y")</f>
        <v>0</v>
      </c>
    </row>
    <row r="17" spans="1:42" x14ac:dyDescent="0.25">
      <c r="A17" s="10" t="s">
        <v>197</v>
      </c>
      <c r="B17" s="10" t="s">
        <v>198</v>
      </c>
      <c r="C17" s="13">
        <f>_xll.BDH("XOM US Equity","OTHER_CURRENT_ASSETS_DETAILED","FQ3 1998","FQ3 1998","Currency=USD","Period=FQ","BEST_FPERIOD_OVERRIDE=FQ","FILING_STATUS=OR","SCALING_FORMAT=MLN","Sort=A","Dates=H","DateFormat=P","Fill=—","Direction=H","UseDPDF=Y")</f>
        <v>1113</v>
      </c>
      <c r="D17" s="13">
        <f>_xll.BDH("XOM US Equity","OTHER_CURRENT_ASSETS_DETAILED","FQ4 1998","FQ4 1998","Currency=USD","Period=FQ","BEST_FPERIOD_OVERRIDE=FQ","FILING_STATUS=OR","SCALING_FORMAT=MLN","Sort=A","Dates=H","DateFormat=P","Fill=—","Direction=H","UseDPDF=Y")</f>
        <v>1015</v>
      </c>
      <c r="E17" s="13">
        <f>_xll.BDH("XOM US Equity","OTHER_CURRENT_ASSETS_DETAILED","FQ1 1999","FQ1 1999","Currency=USD","Period=FQ","BEST_FPERIOD_OVERRIDE=FQ","FILING_STATUS=OR","SCALING_FORMAT=MLN","Sort=A","Dates=H","DateFormat=P","Fill=—","Direction=H","UseDPDF=Y")</f>
        <v>1196</v>
      </c>
      <c r="F17" s="13">
        <f>_xll.BDH("XOM US Equity","OTHER_CURRENT_ASSETS_DETAILED","FQ2 1999","FQ2 1999","Currency=USD","Period=FQ","BEST_FPERIOD_OVERRIDE=FQ","FILING_STATUS=OR","SCALING_FORMAT=MLN","Sort=A","Dates=H","DateFormat=P","Fill=—","Direction=H","UseDPDF=Y")</f>
        <v>1187</v>
      </c>
      <c r="G17" s="13">
        <f>_xll.BDH("XOM US Equity","OTHER_CURRENT_ASSETS_DETAILED","FQ3 1999","FQ3 1999","Currency=USD","Period=FQ","BEST_FPERIOD_OVERRIDE=FQ","FILING_STATUS=OR","SCALING_FORMAT=MLN","Sort=A","Dates=H","DateFormat=P","Fill=—","Direction=H","UseDPDF=Y")</f>
        <v>1185</v>
      </c>
      <c r="H17" s="13">
        <f>_xll.BDH("XOM US Equity","OTHER_CURRENT_ASSETS_DETAILED","FQ4 1999","FQ4 1999","Currency=USD","Period=FQ","BEST_FPERIOD_OVERRIDE=FQ","FILING_STATUS=OR","SCALING_FORMAT=MLN","Sort=A","Dates=H","DateFormat=P","Fill=—","Direction=H","UseDPDF=Y")</f>
        <v>1733</v>
      </c>
      <c r="I17" s="13">
        <f>_xll.BDH("XOM US Equity","OTHER_CURRENT_ASSETS_DETAILED","FQ1 2000","FQ1 2000","Currency=USD","Period=FQ","BEST_FPERIOD_OVERRIDE=FQ","FILING_STATUS=OR","SCALING_FORMAT=MLN","Sort=A","Dates=H","DateFormat=P","Fill=—","Direction=H","UseDPDF=Y")</f>
        <v>2128</v>
      </c>
      <c r="J17" s="13">
        <f>_xll.BDH("XOM US Equity","OTHER_CURRENT_ASSETS_DETAILED","FQ2 2000","FQ2 2000","Currency=USD","Period=FQ","BEST_FPERIOD_OVERRIDE=FQ","FILING_STATUS=OR","SCALING_FORMAT=MLN","Sort=A","Dates=H","DateFormat=P","Fill=—","Direction=H","UseDPDF=Y")</f>
        <v>2404</v>
      </c>
      <c r="K17" s="13">
        <f>_xll.BDH("XOM US Equity","OTHER_CURRENT_ASSETS_DETAILED","FQ3 2000","FQ3 2000","Currency=USD","Period=FQ","BEST_FPERIOD_OVERRIDE=FQ","FILING_STATUS=OR","SCALING_FORMAT=MLN","Sort=A","Dates=H","DateFormat=P","Fill=—","Direction=H","UseDPDF=Y")</f>
        <v>2662</v>
      </c>
      <c r="L17" s="13">
        <f>_xll.BDH("XOM US Equity","OTHER_CURRENT_ASSETS_DETAILED","FQ4 2000","FQ4 2000","Currency=USD","Period=FQ","BEST_FPERIOD_OVERRIDE=FQ","FILING_STATUS=OR","SCALING_FORMAT=MLN","Sort=A","Dates=H","DateFormat=P","Fill=—","Direction=H","UseDPDF=Y")</f>
        <v>2018</v>
      </c>
      <c r="M17" s="13">
        <f>_xll.BDH("XOM US Equity","OTHER_CURRENT_ASSETS_DETAILED","FQ1 2001","FQ1 2001","Currency=USD","Period=FQ","BEST_FPERIOD_OVERRIDE=FQ","FILING_STATUS=OR","SCALING_FORMAT=MLN","Sort=A","Dates=H","DateFormat=P","Fill=—","Direction=H","UseDPDF=Y")</f>
        <v>2122</v>
      </c>
      <c r="N17" s="13">
        <f>_xll.BDH("XOM US Equity","OTHER_CURRENT_ASSETS_DETAILED","FQ2 2001","FQ2 2001","Currency=USD","Period=FQ","BEST_FPERIOD_OVERRIDE=FQ","FILING_STATUS=OR","SCALING_FORMAT=MLN","Sort=A","Dates=H","DateFormat=P","Fill=—","Direction=H","UseDPDF=Y")</f>
        <v>2220</v>
      </c>
      <c r="O17" s="13">
        <f>_xll.BDH("XOM US Equity","OTHER_CURRENT_ASSETS_DETAILED","FQ3 2001","FQ3 2001","Currency=USD","Period=FQ","BEST_FPERIOD_OVERRIDE=FQ","FILING_STATUS=OR","SCALING_FORMAT=MLN","Sort=A","Dates=H","DateFormat=P","Fill=—","Direction=H","UseDPDF=Y")</f>
        <v>2174</v>
      </c>
      <c r="P17" s="13">
        <f>_xll.BDH("XOM US Equity","OTHER_CURRENT_ASSETS_DETAILED","FQ4 2001","FQ4 2001","Currency=USD","Period=FQ","BEST_FPERIOD_OVERRIDE=FQ","FILING_STATUS=OR","SCALING_FORMAT=MLN","Sort=A","Dates=H","DateFormat=P","Fill=—","Direction=H","UseDPDF=Y")</f>
        <v>1681</v>
      </c>
      <c r="Q17" s="13">
        <f>_xll.BDH("XOM US Equity","OTHER_CURRENT_ASSETS_DETAILED","FQ1 2002","FQ1 2002","Currency=USD","Period=FQ","BEST_FPERIOD_OVERRIDE=FQ","FILING_STATUS=OR","SCALING_FORMAT=MLN","Sort=A","Dates=H","DateFormat=P","Fill=—","Direction=H","UseDPDF=Y")</f>
        <v>1872</v>
      </c>
      <c r="R17" s="13">
        <f>_xll.BDH("XOM US Equity","OTHER_CURRENT_ASSETS_DETAILED","FQ2 2002","FQ2 2002","Currency=USD","Period=FQ","BEST_FPERIOD_OVERRIDE=FQ","FILING_STATUS=OR","SCALING_FORMAT=MLN","Sort=A","Dates=H","DateFormat=P","Fill=—","Direction=H","UseDPDF=Y")</f>
        <v>2187</v>
      </c>
      <c r="S17" s="13">
        <f>_xll.BDH("XOM US Equity","OTHER_CURRENT_ASSETS_DETAILED","FQ3 2002","FQ3 2002","Currency=USD","Period=FQ","BEST_FPERIOD_OVERRIDE=FQ","FILING_STATUS=OR","SCALING_FORMAT=MLN","Sort=A","Dates=H","DateFormat=P","Fill=—","Direction=H","UseDPDF=Y")</f>
        <v>2151</v>
      </c>
      <c r="T17" s="13">
        <f>_xll.BDH("XOM US Equity","OTHER_CURRENT_ASSETS_DETAILED","FQ4 2002","FQ4 2002","Currency=USD","Period=FQ","BEST_FPERIOD_OVERRIDE=FQ","FILING_STATUS=OR","SCALING_FORMAT=MLN","Sort=A","Dates=H","DateFormat=P","Fill=—","Direction=H","UseDPDF=Y")</f>
        <v>1831</v>
      </c>
      <c r="U17" s="13">
        <f>_xll.BDH("XOM US Equity","OTHER_CURRENT_ASSETS_DETAILED","FQ1 2003","FQ1 2003","Currency=USD","Period=FQ","BEST_FPERIOD_OVERRIDE=FQ","FILING_STATUS=OR","SCALING_FORMAT=MLN","Sort=A","Dates=H","DateFormat=P","Fill=—","Direction=H","UseDPDF=Y")</f>
        <v>2138</v>
      </c>
      <c r="V17" s="13">
        <f>_xll.BDH("XOM US Equity","OTHER_CURRENT_ASSETS_DETAILED","FQ2 2003","FQ2 2003","Currency=USD","Period=FQ","BEST_FPERIOD_OVERRIDE=FQ","FILING_STATUS=OR","SCALING_FORMAT=MLN","Sort=A","Dates=H","DateFormat=P","Fill=—","Direction=H","UseDPDF=Y")</f>
        <v>2039</v>
      </c>
      <c r="W17" s="13">
        <f>_xll.BDH("XOM US Equity","OTHER_CURRENT_ASSETS_DETAILED","FQ3 2003","FQ3 2003","Currency=USD","Period=FQ","BEST_FPERIOD_OVERRIDE=FQ","FILING_STATUS=OR","SCALING_FORMAT=MLN","Sort=A","Dates=H","DateFormat=P","Fill=—","Direction=H","UseDPDF=Y")</f>
        <v>1938</v>
      </c>
      <c r="X17" s="13">
        <f>_xll.BDH("XOM US Equity","OTHER_CURRENT_ASSETS_DETAILED","FQ4 2003","FQ4 2003","Currency=USD","Period=FQ","BEST_FPERIOD_OVERRIDE=FQ","FILING_STATUS=OR","SCALING_FORMAT=MLN","Sort=A","Dates=H","DateFormat=P","Fill=—","Direction=H","UseDPDF=Y")</f>
        <v>2068</v>
      </c>
      <c r="Y17" s="13">
        <f>_xll.BDH("XOM US Equity","OTHER_CURRENT_ASSETS_DETAILED","FQ1 2004","FQ1 2004","Currency=USD","Period=FQ","BEST_FPERIOD_OVERRIDE=FQ","FILING_STATUS=OR","SCALING_FORMAT=MLN","Sort=A","Dates=H","DateFormat=P","Fill=—","Direction=H","UseDPDF=Y")</f>
        <v>2206</v>
      </c>
      <c r="Z17" s="13">
        <f>_xll.BDH("XOM US Equity","OTHER_CURRENT_ASSETS_DETAILED","FQ2 2004","FQ2 2004","Currency=USD","Period=FQ","BEST_FPERIOD_OVERRIDE=FQ","FILING_STATUS=OR","SCALING_FORMAT=MLN","Sort=A","Dates=H","DateFormat=P","Fill=—","Direction=H","UseDPDF=Y")</f>
        <v>7026</v>
      </c>
      <c r="AA17" s="13">
        <f>_xll.BDH("XOM US Equity","OTHER_CURRENT_ASSETS_DETAILED","FQ3 2004","FQ3 2004","Currency=USD","Period=FQ","BEST_FPERIOD_OVERRIDE=FQ","FILING_STATUS=OR","SCALING_FORMAT=MLN","Sort=A","Dates=H","DateFormat=P","Fill=—","Direction=H","UseDPDF=Y")</f>
        <v>7242</v>
      </c>
      <c r="AB17" s="13">
        <f>_xll.BDH("XOM US Equity","OTHER_CURRENT_ASSETS_DETAILED","FQ4 2004","FQ4 2004","Currency=USD","Period=FQ","BEST_FPERIOD_OVERRIDE=FQ","FILING_STATUS=OR","SCALING_FORMAT=MLN","Sort=A","Dates=H","DateFormat=P","Fill=—","Direction=H","UseDPDF=Y")</f>
        <v>7000</v>
      </c>
      <c r="AC17" s="13">
        <f>_xll.BDH("XOM US Equity","OTHER_CURRENT_ASSETS_DETAILED","FQ1 2005","FQ1 2005","Currency=USD","Period=FQ","BEST_FPERIOD_OVERRIDE=FQ","FILING_STATUS=OR","SCALING_FORMAT=MLN","Sort=A","Dates=H","DateFormat=P","Fill=—","Direction=H","UseDPDF=Y")</f>
        <v>7474</v>
      </c>
      <c r="AD17" s="13">
        <f>_xll.BDH("XOM US Equity","OTHER_CURRENT_ASSETS_DETAILED","FQ2 2005","FQ2 2005","Currency=USD","Period=FQ","BEST_FPERIOD_OVERRIDE=FQ","FILING_STATUS=OR","SCALING_FORMAT=MLN","Sort=A","Dates=H","DateFormat=P","Fill=—","Direction=H","UseDPDF=Y")</f>
        <v>7683</v>
      </c>
      <c r="AE17" s="13">
        <f>_xll.BDH("XOM US Equity","OTHER_CURRENT_ASSETS_DETAILED","FQ3 2005","FQ3 2005","Currency=USD","Period=FQ","BEST_FPERIOD_OVERRIDE=FQ","FILING_STATUS=OR","SCALING_FORMAT=MLN","Sort=A","Dates=H","DateFormat=P","Fill=—","Direction=H","UseDPDF=Y")</f>
        <v>8321</v>
      </c>
      <c r="AF17" s="13">
        <f>_xll.BDH("XOM US Equity","OTHER_CURRENT_ASSETS_DETAILED","FQ4 2005","FQ4 2005","Currency=USD","Period=FQ","BEST_FPERIOD_OVERRIDE=FQ","FILING_STATUS=OR","SCALING_FORMAT=MLN","Sort=A","Dates=H","DateFormat=P","Fill=—","Direction=H","UseDPDF=Y")</f>
        <v>7866</v>
      </c>
      <c r="AG17" s="13">
        <f>_xll.BDH("XOM US Equity","OTHER_CURRENT_ASSETS_DETAILED","FQ1 2006","FQ1 2006","Currency=USD","Period=FQ","BEST_FPERIOD_OVERRIDE=FQ","FILING_STATUS=OR","SCALING_FORMAT=MLN","Sort=A","Dates=H","DateFormat=P","Fill=—","Direction=H","UseDPDF=Y")</f>
        <v>7983</v>
      </c>
      <c r="AH17" s="13">
        <f>_xll.BDH("XOM US Equity","OTHER_CURRENT_ASSETS_DETAILED","FQ2 2006","FQ2 2006","Currency=USD","Period=FQ","BEST_FPERIOD_OVERRIDE=FQ","FILING_STATUS=OR","SCALING_FORMAT=MLN","Sort=A","Dates=H","DateFormat=P","Fill=—","Direction=H","UseDPDF=Y")</f>
        <v>8109</v>
      </c>
      <c r="AI17" s="13">
        <f>_xll.BDH("XOM US Equity","OTHER_CURRENT_ASSETS_DETAILED","FQ3 2006","FQ3 2006","Currency=USD","Period=FQ","BEST_FPERIOD_OVERRIDE=FQ","FILING_STATUS=OR","SCALING_FORMAT=MLN","Sort=A","Dates=H","DateFormat=P","Fill=—","Direction=H","UseDPDF=Y")</f>
        <v>8101</v>
      </c>
      <c r="AJ17" s="13">
        <f>_xll.BDH("XOM US Equity","OTHER_CURRENT_ASSETS_DETAILED","FQ4 2006","FQ4 2006","Currency=USD","Period=FQ","BEST_FPERIOD_OVERRIDE=FQ","FILING_STATUS=OR","SCALING_FORMAT=MLN","Sort=A","Dates=H","DateFormat=P","Fill=—","Direction=H","UseDPDF=Y")</f>
        <v>7877</v>
      </c>
      <c r="AK17" s="13">
        <f>_xll.BDH("XOM US Equity","OTHER_CURRENT_ASSETS_DETAILED","FQ1 2007","FQ1 2007","Currency=USD","Period=FQ","BEST_FPERIOD_OVERRIDE=FQ","FILING_STATUS=OR","SCALING_FORMAT=MLN","Sort=A","Dates=H","DateFormat=P","Fill=—","Direction=H","UseDPDF=Y")</f>
        <v>7884</v>
      </c>
      <c r="AL17" s="13">
        <f>_xll.BDH("XOM US Equity","OTHER_CURRENT_ASSETS_DETAILED","FQ2 2007","FQ2 2007","Currency=USD","Period=FQ","BEST_FPERIOD_OVERRIDE=FQ","FILING_STATUS=OR","SCALING_FORMAT=MLN","Sort=A","Dates=H","DateFormat=P","Fill=—","Direction=H","UseDPDF=Y")</f>
        <v>8551</v>
      </c>
      <c r="AM17" s="13">
        <f>_xll.BDH("XOM US Equity","OTHER_CURRENT_ASSETS_DETAILED","FQ3 2007","FQ3 2007","Currency=USD","Period=FQ","BEST_FPERIOD_OVERRIDE=FQ","FILING_STATUS=OR","SCALING_FORMAT=MLN","Sort=A","Dates=H","DateFormat=P","Fill=—","Direction=H","UseDPDF=Y")</f>
        <v>8783</v>
      </c>
      <c r="AN17" s="13">
        <f>_xll.BDH("XOM US Equity","OTHER_CURRENT_ASSETS_DETAILED","FQ4 2007","FQ4 2007","Currency=USD","Period=FQ","BEST_FPERIOD_OVERRIDE=FQ","FILING_STATUS=OR","SCALING_FORMAT=MLN","Sort=A","Dates=H","DateFormat=P","Fill=—","Direction=H","UseDPDF=Y")</f>
        <v>3924</v>
      </c>
      <c r="AO17" s="13">
        <f>_xll.BDH("XOM US Equity","OTHER_CURRENT_ASSETS_DETAILED","FQ1 2008","FQ1 2008","Currency=USD","Period=FQ","BEST_FPERIOD_OVERRIDE=FQ","FILING_STATUS=OR","SCALING_FORMAT=MLN","Sort=A","Dates=H","DateFormat=P","Fill=—","Direction=H","UseDPDF=Y")</f>
        <v>4559</v>
      </c>
      <c r="AP17" s="13">
        <f>_xll.BDH("XOM US Equity","OTHER_CURRENT_ASSETS_DETAILED","FQ2 2008","FQ2 2008","Currency=USD","Period=FQ","BEST_FPERIOD_OVERRIDE=FQ","FILING_STATUS=OR","SCALING_FORMAT=MLN","Sort=A","Dates=H","DateFormat=P","Fill=—","Direction=H","UseDPDF=Y")</f>
        <v>6601</v>
      </c>
    </row>
    <row r="18" spans="1:42" x14ac:dyDescent="0.25">
      <c r="A18" s="6" t="s">
        <v>199</v>
      </c>
      <c r="B18" s="6" t="s">
        <v>200</v>
      </c>
      <c r="C18" s="16">
        <f>_xll.BDH("XOM US Equity","BS_CUR_ASSET_REPORT","FQ3 1998","FQ3 1998","Currency=USD","Period=FQ","BEST_FPERIOD_OVERRIDE=FQ","FILING_STATUS=OR","SCALING_FORMAT=MLN","Sort=A","Dates=H","DateFormat=P","Fill=—","Direction=H","UseDPDF=Y")</f>
        <v>18077</v>
      </c>
      <c r="D18" s="16">
        <f>_xll.BDH("XOM US Equity","BS_CUR_ASSET_REPORT","FQ4 1998","FQ4 1998","Currency=USD","Period=FQ","BEST_FPERIOD_OVERRIDE=FQ","FILING_STATUS=OR","SCALING_FORMAT=MLN","Sort=A","Dates=H","DateFormat=P","Fill=—","Direction=H","UseDPDF=Y")</f>
        <v>17593</v>
      </c>
      <c r="E18" s="16">
        <f>_xll.BDH("XOM US Equity","BS_CUR_ASSET_REPORT","FQ1 1999","FQ1 1999","Currency=USD","Period=FQ","BEST_FPERIOD_OVERRIDE=FQ","FILING_STATUS=OR","SCALING_FORMAT=MLN","Sort=A","Dates=H","DateFormat=P","Fill=—","Direction=H","UseDPDF=Y")</f>
        <v>16709</v>
      </c>
      <c r="F18" s="16">
        <f>_xll.BDH("XOM US Equity","BS_CUR_ASSET_REPORT","FQ2 1999","FQ2 1999","Currency=USD","Period=FQ","BEST_FPERIOD_OVERRIDE=FQ","FILING_STATUS=OR","SCALING_FORMAT=MLN","Sort=A","Dates=H","DateFormat=P","Fill=—","Direction=H","UseDPDF=Y")</f>
        <v>16429</v>
      </c>
      <c r="G18" s="16">
        <f>_xll.BDH("XOM US Equity","BS_CUR_ASSET_REPORT","FQ3 1999","FQ3 1999","Currency=USD","Period=FQ","BEST_FPERIOD_OVERRIDE=FQ","FILING_STATUS=OR","SCALING_FORMAT=MLN","Sort=A","Dates=H","DateFormat=P","Fill=—","Direction=H","UseDPDF=Y")</f>
        <v>18048</v>
      </c>
      <c r="H18" s="16">
        <f>_xll.BDH("XOM US Equity","BS_CUR_ASSET_REPORT","FQ4 1999","FQ4 1999","Currency=USD","Period=FQ","BEST_FPERIOD_OVERRIDE=FQ","FILING_STATUS=OR","SCALING_FORMAT=MLN","Sort=A","Dates=H","DateFormat=P","Fill=—","Direction=H","UseDPDF=Y")</f>
        <v>31141</v>
      </c>
      <c r="I18" s="16">
        <f>_xll.BDH("XOM US Equity","BS_CUR_ASSET_REPORT","FQ1 2000","FQ1 2000","Currency=USD","Period=FQ","BEST_FPERIOD_OVERRIDE=FQ","FILING_STATUS=OR","SCALING_FORMAT=MLN","Sort=A","Dates=H","DateFormat=P","Fill=—","Direction=H","UseDPDF=Y")</f>
        <v>32380</v>
      </c>
      <c r="J18" s="16">
        <f>_xll.BDH("XOM US Equity","BS_CUR_ASSET_REPORT","FQ2 2000","FQ2 2000","Currency=USD","Period=FQ","BEST_FPERIOD_OVERRIDE=FQ","FILING_STATUS=OR","SCALING_FORMAT=MLN","Sort=A","Dates=H","DateFormat=P","Fill=—","Direction=H","UseDPDF=Y")</f>
        <v>37051</v>
      </c>
      <c r="K18" s="16">
        <f>_xll.BDH("XOM US Equity","BS_CUR_ASSET_REPORT","FQ3 2000","FQ3 2000","Currency=USD","Period=FQ","BEST_FPERIOD_OVERRIDE=FQ","FILING_STATUS=OR","SCALING_FORMAT=MLN","Sort=A","Dates=H","DateFormat=P","Fill=—","Direction=H","UseDPDF=Y")</f>
        <v>39449</v>
      </c>
      <c r="L18" s="16">
        <f>_xll.BDH("XOM US Equity","BS_CUR_ASSET_REPORT","FQ4 2000","FQ4 2000","Currency=USD","Period=FQ","BEST_FPERIOD_OVERRIDE=FQ","FILING_STATUS=OR","SCALING_FORMAT=MLN","Sort=A","Dates=H","DateFormat=P","Fill=—","Direction=H","UseDPDF=Y")</f>
        <v>40399</v>
      </c>
      <c r="M18" s="16">
        <f>_xll.BDH("XOM US Equity","BS_CUR_ASSET_REPORT","FQ1 2001","FQ1 2001","Currency=USD","Period=FQ","BEST_FPERIOD_OVERRIDE=FQ","FILING_STATUS=OR","SCALING_FORMAT=MLN","Sort=A","Dates=H","DateFormat=P","Fill=—","Direction=H","UseDPDF=Y")</f>
        <v>42527</v>
      </c>
      <c r="N18" s="16">
        <f>_xll.BDH("XOM US Equity","BS_CUR_ASSET_REPORT","FQ2 2001","FQ2 2001","Currency=USD","Period=FQ","BEST_FPERIOD_OVERRIDE=FQ","FILING_STATUS=OR","SCALING_FORMAT=MLN","Sort=A","Dates=H","DateFormat=P","Fill=—","Direction=H","UseDPDF=Y")</f>
        <v>41322</v>
      </c>
      <c r="O18" s="16">
        <f>_xll.BDH("XOM US Equity","BS_CUR_ASSET_REPORT","FQ3 2001","FQ3 2001","Currency=USD","Period=FQ","BEST_FPERIOD_OVERRIDE=FQ","FILING_STATUS=OR","SCALING_FORMAT=MLN","Sort=A","Dates=H","DateFormat=P","Fill=—","Direction=H","UseDPDF=Y")</f>
        <v>40327</v>
      </c>
      <c r="P18" s="16">
        <f>_xll.BDH("XOM US Equity","BS_CUR_ASSET_REPORT","FQ4 2001","FQ4 2001","Currency=USD","Period=FQ","BEST_FPERIOD_OVERRIDE=FQ","FILING_STATUS=OR","SCALING_FORMAT=MLN","Sort=A","Dates=H","DateFormat=P","Fill=—","Direction=H","UseDPDF=Y")</f>
        <v>35681</v>
      </c>
      <c r="Q18" s="16">
        <f>_xll.BDH("XOM US Equity","BS_CUR_ASSET_REPORT","FQ1 2002","FQ1 2002","Currency=USD","Period=FQ","BEST_FPERIOD_OVERRIDE=FQ","FILING_STATUS=OR","SCALING_FORMAT=MLN","Sort=A","Dates=H","DateFormat=P","Fill=—","Direction=H","UseDPDF=Y")</f>
        <v>35455</v>
      </c>
      <c r="R18" s="16">
        <f>_xll.BDH("XOM US Equity","BS_CUR_ASSET_REPORT","FQ2 2002","FQ2 2002","Currency=USD","Period=FQ","BEST_FPERIOD_OVERRIDE=FQ","FILING_STATUS=OR","SCALING_FORMAT=MLN","Sort=A","Dates=H","DateFormat=P","Fill=—","Direction=H","UseDPDF=Y")</f>
        <v>36137</v>
      </c>
      <c r="S18" s="16">
        <f>_xll.BDH("XOM US Equity","BS_CUR_ASSET_REPORT","FQ3 2002","FQ3 2002","Currency=USD","Period=FQ","BEST_FPERIOD_OVERRIDE=FQ","FILING_STATUS=OR","SCALING_FORMAT=MLN","Sort=A","Dates=H","DateFormat=P","Fill=—","Direction=H","UseDPDF=Y")</f>
        <v>36543</v>
      </c>
      <c r="T18" s="16">
        <f>_xll.BDH("XOM US Equity","BS_CUR_ASSET_REPORT","FQ4 2002","FQ4 2002","Currency=USD","Period=FQ","BEST_FPERIOD_OVERRIDE=FQ","FILING_STATUS=OR","SCALING_FORMAT=MLN","Sort=A","Dates=H","DateFormat=P","Fill=—","Direction=H","UseDPDF=Y")</f>
        <v>38291</v>
      </c>
      <c r="U18" s="16">
        <f>_xll.BDH("XOM US Equity","BS_CUR_ASSET_REPORT","FQ1 2003","FQ1 2003","Currency=USD","Period=FQ","BEST_FPERIOD_OVERRIDE=FQ","FILING_STATUS=OR","SCALING_FORMAT=MLN","Sort=A","Dates=H","DateFormat=P","Fill=—","Direction=H","UseDPDF=Y")</f>
        <v>45474</v>
      </c>
      <c r="V18" s="16">
        <f>_xll.BDH("XOM US Equity","BS_CUR_ASSET_REPORT","FQ2 2003","FQ2 2003","Currency=USD","Period=FQ","BEST_FPERIOD_OVERRIDE=FQ","FILING_STATUS=OR","SCALING_FORMAT=MLN","Sort=A","Dates=H","DateFormat=P","Fill=—","Direction=H","UseDPDF=Y")</f>
        <v>44066</v>
      </c>
      <c r="W18" s="16">
        <f>_xll.BDH("XOM US Equity","BS_CUR_ASSET_REPORT","FQ3 2003","FQ3 2003","Currency=USD","Period=FQ","BEST_FPERIOD_OVERRIDE=FQ","FILING_STATUS=OR","SCALING_FORMAT=MLN","Sort=A","Dates=H","DateFormat=P","Fill=—","Direction=H","UseDPDF=Y")</f>
        <v>42958</v>
      </c>
      <c r="X18" s="16">
        <f>_xll.BDH("XOM US Equity","BS_CUR_ASSET_REPORT","FQ4 2003","FQ4 2003","Currency=USD","Period=FQ","BEST_FPERIOD_OVERRIDE=FQ","FILING_STATUS=OR","SCALING_FORMAT=MLN","Sort=A","Dates=H","DateFormat=P","Fill=—","Direction=H","UseDPDF=Y")</f>
        <v>45960</v>
      </c>
      <c r="Y18" s="16">
        <f>_xll.BDH("XOM US Equity","BS_CUR_ASSET_REPORT","FQ1 2004","FQ1 2004","Currency=USD","Period=FQ","BEST_FPERIOD_OVERRIDE=FQ","FILING_STATUS=OR","SCALING_FORMAT=MLN","Sort=A","Dates=H","DateFormat=P","Fill=—","Direction=H","UseDPDF=Y")</f>
        <v>52475</v>
      </c>
      <c r="Z18" s="16">
        <f>_xll.BDH("XOM US Equity","BS_CUR_ASSET_REPORT","FQ2 2004","FQ2 2004","Currency=USD","Period=FQ","BEST_FPERIOD_OVERRIDE=FQ","FILING_STATUS=OR","SCALING_FORMAT=MLN","Sort=A","Dates=H","DateFormat=P","Fill=—","Direction=H","UseDPDF=Y")</f>
        <v>54250</v>
      </c>
      <c r="AA18" s="16">
        <f>_xll.BDH("XOM US Equity","BS_CUR_ASSET_REPORT","FQ3 2004","FQ3 2004","Currency=USD","Period=FQ","BEST_FPERIOD_OVERRIDE=FQ","FILING_STATUS=OR","SCALING_FORMAT=MLN","Sort=A","Dates=H","DateFormat=P","Fill=—","Direction=H","UseDPDF=Y")</f>
        <v>57935</v>
      </c>
      <c r="AB18" s="16">
        <f>_xll.BDH("XOM US Equity","BS_CUR_ASSET_REPORT","FQ4 2004","FQ4 2004","Currency=USD","Period=FQ","BEST_FPERIOD_OVERRIDE=FQ","FILING_STATUS=OR","SCALING_FORMAT=MLN","Sort=A","Dates=H","DateFormat=P","Fill=—","Direction=H","UseDPDF=Y")</f>
        <v>60377</v>
      </c>
      <c r="AC18" s="16">
        <f>_xll.BDH("XOM US Equity","BS_CUR_ASSET_REPORT","FQ1 2005","FQ1 2005","Currency=USD","Period=FQ","BEST_FPERIOD_OVERRIDE=FQ","FILING_STATUS=OR","SCALING_FORMAT=MLN","Sort=A","Dates=H","DateFormat=P","Fill=—","Direction=H","UseDPDF=Y")</f>
        <v>68590</v>
      </c>
      <c r="AD18" s="16">
        <f>_xll.BDH("XOM US Equity","BS_CUR_ASSET_REPORT","FQ2 2005","FQ2 2005","Currency=USD","Period=FQ","BEST_FPERIOD_OVERRIDE=FQ","FILING_STATUS=OR","SCALING_FORMAT=MLN","Sort=A","Dates=H","DateFormat=P","Fill=—","Direction=H","UseDPDF=Y")</f>
        <v>69630</v>
      </c>
      <c r="AE18" s="16">
        <f>_xll.BDH("XOM US Equity","BS_CUR_ASSET_REPORT","FQ3 2005","FQ3 2005","Currency=USD","Period=FQ","BEST_FPERIOD_OVERRIDE=FQ","FILING_STATUS=OR","SCALING_FORMAT=MLN","Sort=A","Dates=H","DateFormat=P","Fill=—","Direction=H","UseDPDF=Y")</f>
        <v>74730</v>
      </c>
      <c r="AF18" s="16">
        <f>_xll.BDH("XOM US Equity","BS_CUR_ASSET_REPORT","FQ4 2005","FQ4 2005","Currency=USD","Period=FQ","BEST_FPERIOD_OVERRIDE=FQ","FILING_STATUS=OR","SCALING_FORMAT=MLN","Sort=A","Dates=H","DateFormat=P","Fill=—","Direction=H","UseDPDF=Y")</f>
        <v>73342</v>
      </c>
      <c r="AG18" s="16">
        <f>_xll.BDH("XOM US Equity","BS_CUR_ASSET_REPORT","FQ1 2006","FQ1 2006","Currency=USD","Period=FQ","BEST_FPERIOD_OVERRIDE=FQ","FILING_STATUS=OR","SCALING_FORMAT=MLN","Sort=A","Dates=H","DateFormat=P","Fill=—","Direction=H","UseDPDF=Y")</f>
        <v>78474</v>
      </c>
      <c r="AH18" s="16">
        <f>_xll.BDH("XOM US Equity","BS_CUR_ASSET_REPORT","FQ2 2006","FQ2 2006","Currency=USD","Period=FQ","BEST_FPERIOD_OVERRIDE=FQ","FILING_STATUS=OR","SCALING_FORMAT=MLN","Sort=A","Dates=H","DateFormat=P","Fill=—","Direction=H","UseDPDF=Y")</f>
        <v>80658</v>
      </c>
      <c r="AI18" s="16">
        <f>_xll.BDH("XOM US Equity","BS_CUR_ASSET_REPORT","FQ3 2006","FQ3 2006","Currency=USD","Period=FQ","BEST_FPERIOD_OVERRIDE=FQ","FILING_STATUS=OR","SCALING_FORMAT=MLN","Sort=A","Dates=H","DateFormat=P","Fill=—","Direction=H","UseDPDF=Y")</f>
        <v>81753</v>
      </c>
      <c r="AJ18" s="16">
        <f>_xll.BDH("XOM US Equity","BS_CUR_ASSET_REPORT","FQ4 2006","FQ4 2006","Currency=USD","Period=FQ","BEST_FPERIOD_OVERRIDE=FQ","FILING_STATUS=OR","SCALING_FORMAT=MLN","Sort=A","Dates=H","DateFormat=P","Fill=—","Direction=H","UseDPDF=Y")</f>
        <v>75777</v>
      </c>
      <c r="AK18" s="16">
        <f>_xll.BDH("XOM US Equity","BS_CUR_ASSET_REPORT","FQ1 2007","FQ1 2007","Currency=USD","Period=FQ","BEST_FPERIOD_OVERRIDE=FQ","FILING_STATUS=OR","SCALING_FORMAT=MLN","Sort=A","Dates=H","DateFormat=P","Fill=—","Direction=H","UseDPDF=Y")</f>
        <v>78065</v>
      </c>
      <c r="AL18" s="16">
        <f>_xll.BDH("XOM US Equity","BS_CUR_ASSET_REPORT","FQ2 2007","FQ2 2007","Currency=USD","Period=FQ","BEST_FPERIOD_OVERRIDE=FQ","FILING_STATUS=OR","SCALING_FORMAT=MLN","Sort=A","Dates=H","DateFormat=P","Fill=—","Direction=H","UseDPDF=Y")</f>
        <v>80720</v>
      </c>
      <c r="AM18" s="16">
        <f>_xll.BDH("XOM US Equity","BS_CUR_ASSET_REPORT","FQ3 2007","FQ3 2007","Currency=USD","Period=FQ","BEST_FPERIOD_OVERRIDE=FQ","FILING_STATUS=OR","SCALING_FORMAT=MLN","Sort=A","Dates=H","DateFormat=P","Fill=—","Direction=H","UseDPDF=Y")</f>
        <v>85247</v>
      </c>
      <c r="AN18" s="16">
        <f>_xll.BDH("XOM US Equity","BS_CUR_ASSET_REPORT","FQ4 2007","FQ4 2007","Currency=USD","Period=FQ","BEST_FPERIOD_OVERRIDE=FQ","FILING_STATUS=OR","SCALING_FORMAT=MLN","Sort=A","Dates=H","DateFormat=P","Fill=—","Direction=H","UseDPDF=Y")</f>
        <v>85963</v>
      </c>
      <c r="AO18" s="16">
        <f>_xll.BDH("XOM US Equity","BS_CUR_ASSET_REPORT","FQ1 2008","FQ1 2008","Currency=USD","Period=FQ","BEST_FPERIOD_OVERRIDE=FQ","FILING_STATUS=OR","SCALING_FORMAT=MLN","Sort=A","Dates=H","DateFormat=P","Fill=—","Direction=H","UseDPDF=Y")</f>
        <v>97758</v>
      </c>
      <c r="AP18" s="16">
        <f>_xll.BDH("XOM US Equity","BS_CUR_ASSET_REPORT","FQ2 2008","FQ2 2008","Currency=USD","Period=FQ","BEST_FPERIOD_OVERRIDE=FQ","FILING_STATUS=OR","SCALING_FORMAT=MLN","Sort=A","Dates=H","DateFormat=P","Fill=—","Direction=H","UseDPDF=Y")</f>
        <v>103982</v>
      </c>
    </row>
    <row r="19" spans="1:42" x14ac:dyDescent="0.25">
      <c r="A19" s="10" t="s">
        <v>201</v>
      </c>
      <c r="B19" s="10" t="s">
        <v>202</v>
      </c>
      <c r="C19" s="13">
        <f>_xll.BDH("XOM US Equity","BS_NET_FIX_ASSET","FQ3 1998","FQ3 1998","Currency=USD","Period=FQ","BEST_FPERIOD_OVERRIDE=FQ","FILING_STATUS=OR","SCALING_FORMAT=MLN","Sort=A","Dates=H","DateFormat=P","Fill=—","Direction=H","UseDPDF=Y")</f>
        <v>68277</v>
      </c>
      <c r="D19" s="13">
        <f>_xll.BDH("XOM US Equity","BS_NET_FIX_ASSET","FQ4 1998","FQ4 1998","Currency=USD","Period=FQ","BEST_FPERIOD_OVERRIDE=FQ","FILING_STATUS=OR","SCALING_FORMAT=MLN","Sort=A","Dates=H","DateFormat=P","Fill=—","Direction=H","UseDPDF=Y")</f>
        <v>65199</v>
      </c>
      <c r="E19" s="13">
        <f>_xll.BDH("XOM US Equity","BS_NET_FIX_ASSET","FQ1 1999","FQ1 1999","Currency=USD","Period=FQ","BEST_FPERIOD_OVERRIDE=FQ","FILING_STATUS=OR","SCALING_FORMAT=MLN","Sort=A","Dates=H","DateFormat=P","Fill=—","Direction=H","UseDPDF=Y")</f>
        <v>64415</v>
      </c>
      <c r="F19" s="13">
        <f>_xll.BDH("XOM US Equity","BS_NET_FIX_ASSET","FQ2 1999","FQ2 1999","Currency=USD","Period=FQ","BEST_FPERIOD_OVERRIDE=FQ","FILING_STATUS=OR","SCALING_FORMAT=MLN","Sort=A","Dates=H","DateFormat=P","Fill=—","Direction=H","UseDPDF=Y")</f>
        <v>65002</v>
      </c>
      <c r="G19" s="13">
        <f>_xll.BDH("XOM US Equity","BS_NET_FIX_ASSET","FQ3 1999","FQ3 1999","Currency=USD","Period=FQ","BEST_FPERIOD_OVERRIDE=FQ","FILING_STATUS=OR","SCALING_FORMAT=MLN","Sort=A","Dates=H","DateFormat=P","Fill=—","Direction=H","UseDPDF=Y")</f>
        <v>65999</v>
      </c>
      <c r="H19" s="13">
        <f>_xll.BDH("XOM US Equity","BS_NET_FIX_ASSET","FQ4 1999","FQ4 1999","Currency=USD","Period=FQ","BEST_FPERIOD_OVERRIDE=FQ","FILING_STATUS=OR","SCALING_FORMAT=MLN","Sort=A","Dates=H","DateFormat=P","Fill=—","Direction=H","UseDPDF=Y")</f>
        <v>94043</v>
      </c>
      <c r="I19" s="13">
        <f>_xll.BDH("XOM US Equity","BS_NET_FIX_ASSET","FQ1 2000","FQ1 2000","Currency=USD","Period=FQ","BEST_FPERIOD_OVERRIDE=FQ","FILING_STATUS=OR","SCALING_FORMAT=MLN","Sort=A","Dates=H","DateFormat=P","Fill=—","Direction=H","UseDPDF=Y")</f>
        <v>92553</v>
      </c>
      <c r="J19" s="13">
        <f>_xll.BDH("XOM US Equity","BS_NET_FIX_ASSET","FQ2 2000","FQ2 2000","Currency=USD","Period=FQ","BEST_FPERIOD_OVERRIDE=FQ","FILING_STATUS=OR","SCALING_FORMAT=MLN","Sort=A","Dates=H","DateFormat=P","Fill=—","Direction=H","UseDPDF=Y")</f>
        <v>91303</v>
      </c>
      <c r="K19" s="13">
        <f>_xll.BDH("XOM US Equity","BS_NET_FIX_ASSET","FQ3 2000","FQ3 2000","Currency=USD","Period=FQ","BEST_FPERIOD_OVERRIDE=FQ","FILING_STATUS=OR","SCALING_FORMAT=MLN","Sort=A","Dates=H","DateFormat=P","Fill=—","Direction=H","UseDPDF=Y")</f>
        <v>90067</v>
      </c>
      <c r="L19" s="13">
        <f>_xll.BDH("XOM US Equity","BS_NET_FIX_ASSET","FQ4 2000","FQ4 2000","Currency=USD","Period=FQ","BEST_FPERIOD_OVERRIDE=FQ","FILING_STATUS=OR","SCALING_FORMAT=MLN","Sort=A","Dates=H","DateFormat=P","Fill=—","Direction=H","UseDPDF=Y")</f>
        <v>89829</v>
      </c>
      <c r="M19" s="13">
        <f>_xll.BDH("XOM US Equity","BS_NET_FIX_ASSET","FQ1 2001","FQ1 2001","Currency=USD","Period=FQ","BEST_FPERIOD_OVERRIDE=FQ","FILING_STATUS=OR","SCALING_FORMAT=MLN","Sort=A","Dates=H","DateFormat=P","Fill=—","Direction=H","UseDPDF=Y")</f>
        <v>88006</v>
      </c>
      <c r="N19" s="13">
        <f>_xll.BDH("XOM US Equity","BS_NET_FIX_ASSET","FQ2 2001","FQ2 2001","Currency=USD","Period=FQ","BEST_FPERIOD_OVERRIDE=FQ","FILING_STATUS=OR","SCALING_FORMAT=MLN","Sort=A","Dates=H","DateFormat=P","Fill=—","Direction=H","UseDPDF=Y")</f>
        <v>88356</v>
      </c>
      <c r="O19" s="13">
        <f>_xll.BDH("XOM US Equity","BS_NET_FIX_ASSET","FQ3 2001","FQ3 2001","Currency=USD","Period=FQ","BEST_FPERIOD_OVERRIDE=FQ","FILING_STATUS=OR","SCALING_FORMAT=MLN","Sort=A","Dates=H","DateFormat=P","Fill=—","Direction=H","UseDPDF=Y")</f>
        <v>89533</v>
      </c>
      <c r="P19" s="13">
        <f>_xll.BDH("XOM US Equity","BS_NET_FIX_ASSET","FQ4 2001","FQ4 2001","Currency=USD","Period=FQ","BEST_FPERIOD_OVERRIDE=FQ","FILING_STATUS=OR","SCALING_FORMAT=MLN","Sort=A","Dates=H","DateFormat=P","Fill=—","Direction=H","UseDPDF=Y")</f>
        <v>89602</v>
      </c>
      <c r="Q19" s="13">
        <f>_xll.BDH("XOM US Equity","BS_NET_FIX_ASSET","FQ1 2002","FQ1 2002","Currency=USD","Period=FQ","BEST_FPERIOD_OVERRIDE=FQ","FILING_STATUS=OR","SCALING_FORMAT=MLN","Sort=A","Dates=H","DateFormat=P","Fill=—","Direction=H","UseDPDF=Y")</f>
        <v>89253</v>
      </c>
      <c r="R19" s="13">
        <f>_xll.BDH("XOM US Equity","BS_NET_FIX_ASSET","FQ2 2002","FQ2 2002","Currency=USD","Period=FQ","BEST_FPERIOD_OVERRIDE=FQ","FILING_STATUS=OR","SCALING_FORMAT=MLN","Sort=A","Dates=H","DateFormat=P","Fill=—","Direction=H","UseDPDF=Y")</f>
        <v>93190</v>
      </c>
      <c r="S19" s="13">
        <f>_xll.BDH("XOM US Equity","BS_NET_FIX_ASSET","FQ3 2002","FQ3 2002","Currency=USD","Period=FQ","BEST_FPERIOD_OVERRIDE=FQ","FILING_STATUS=OR","SCALING_FORMAT=MLN","Sort=A","Dates=H","DateFormat=P","Fill=—","Direction=H","UseDPDF=Y")</f>
        <v>93459</v>
      </c>
      <c r="T19" s="13">
        <f>_xll.BDH("XOM US Equity","BS_NET_FIX_ASSET","FQ4 2002","FQ4 2002","Currency=USD","Period=FQ","BEST_FPERIOD_OVERRIDE=FQ","FILING_STATUS=OR","SCALING_FORMAT=MLN","Sort=A","Dates=H","DateFormat=P","Fill=—","Direction=H","UseDPDF=Y")</f>
        <v>94940</v>
      </c>
      <c r="U19" s="13">
        <f>_xll.BDH("XOM US Equity","BS_NET_FIX_ASSET","FQ1 2003","FQ1 2003","Currency=USD","Period=FQ","BEST_FPERIOD_OVERRIDE=FQ","FILING_STATUS=OR","SCALING_FORMAT=MLN","Sort=A","Dates=H","DateFormat=P","Fill=—","Direction=H","UseDPDF=Y")</f>
        <v>96595</v>
      </c>
      <c r="V19" s="13">
        <f>_xll.BDH("XOM US Equity","BS_NET_FIX_ASSET","FQ2 2003","FQ2 2003","Currency=USD","Period=FQ","BEST_FPERIOD_OVERRIDE=FQ","FILING_STATUS=OR","SCALING_FORMAT=MLN","Sort=A","Dates=H","DateFormat=P","Fill=—","Direction=H","UseDPDF=Y")</f>
        <v>99500</v>
      </c>
      <c r="W19" s="13">
        <f>_xll.BDH("XOM US Equity","BS_NET_FIX_ASSET","FQ3 2003","FQ3 2003","Currency=USD","Period=FQ","BEST_FPERIOD_OVERRIDE=FQ","FILING_STATUS=OR","SCALING_FORMAT=MLN","Sort=A","Dates=H","DateFormat=P","Fill=—","Direction=H","UseDPDF=Y")</f>
        <v>101192</v>
      </c>
      <c r="X19" s="13">
        <f>_xll.BDH("XOM US Equity","BS_NET_FIX_ASSET","FQ4 2003","FQ4 2003","Currency=USD","Period=FQ","BEST_FPERIOD_OVERRIDE=FQ","FILING_STATUS=OR","SCALING_FORMAT=MLN","Sort=A","Dates=H","DateFormat=P","Fill=—","Direction=H","UseDPDF=Y")</f>
        <v>104965</v>
      </c>
      <c r="Y19" s="13">
        <f>_xll.BDH("XOM US Equity","BS_NET_FIX_ASSET","FQ1 2004","FQ1 2004","Currency=USD","Period=FQ","BEST_FPERIOD_OVERRIDE=FQ","FILING_STATUS=OR","SCALING_FORMAT=MLN","Sort=A","Dates=H","DateFormat=P","Fill=—","Direction=H","UseDPDF=Y")</f>
        <v>104784</v>
      </c>
      <c r="Z19" s="13">
        <f>_xll.BDH("XOM US Equity","BS_NET_FIX_ASSET","FQ2 2004","FQ2 2004","Currency=USD","Period=FQ","BEST_FPERIOD_OVERRIDE=FQ","FILING_STATUS=OR","SCALING_FORMAT=MLN","Sort=A","Dates=H","DateFormat=P","Fill=—","Direction=H","UseDPDF=Y")</f>
        <v>103854</v>
      </c>
      <c r="AA19" s="13">
        <f>_xll.BDH("XOM US Equity","BS_NET_FIX_ASSET","FQ3 2004","FQ3 2004","Currency=USD","Period=FQ","BEST_FPERIOD_OVERRIDE=FQ","FILING_STATUS=OR","SCALING_FORMAT=MLN","Sort=A","Dates=H","DateFormat=P","Fill=—","Direction=H","UseDPDF=Y")</f>
        <v>104893</v>
      </c>
      <c r="AB19" s="13">
        <f>_xll.BDH("XOM US Equity","BS_NET_FIX_ASSET","FQ4 2004","FQ4 2004","Currency=USD","Period=FQ","BEST_FPERIOD_OVERRIDE=FQ","FILING_STATUS=OR","SCALING_FORMAT=MLN","Sort=A","Dates=H","DateFormat=P","Fill=—","Direction=H","UseDPDF=Y")</f>
        <v>108639</v>
      </c>
      <c r="AC19" s="13">
        <f>_xll.BDH("XOM US Equity","BS_NET_FIX_ASSET","FQ1 2005","FQ1 2005","Currency=USD","Period=FQ","BEST_FPERIOD_OVERRIDE=FQ","FILING_STATUS=OR","SCALING_FORMAT=MLN","Sort=A","Dates=H","DateFormat=P","Fill=—","Direction=H","UseDPDF=Y")</f>
        <v>107415</v>
      </c>
      <c r="AD19" s="13">
        <f>_xll.BDH("XOM US Equity","BS_NET_FIX_ASSET","FQ2 2005","FQ2 2005","Currency=USD","Period=FQ","BEST_FPERIOD_OVERRIDE=FQ","FILING_STATUS=OR","SCALING_FORMAT=MLN","Sort=A","Dates=H","DateFormat=P","Fill=—","Direction=H","UseDPDF=Y")</f>
        <v>106215</v>
      </c>
      <c r="AE19" s="13">
        <f>_xll.BDH("XOM US Equity","BS_NET_FIX_ASSET","FQ3 2005","FQ3 2005","Currency=USD","Period=FQ","BEST_FPERIOD_OVERRIDE=FQ","FILING_STATUS=OR","SCALING_FORMAT=MLN","Sort=A","Dates=H","DateFormat=P","Fill=—","Direction=H","UseDPDF=Y")</f>
        <v>107094</v>
      </c>
      <c r="AF19" s="13">
        <f>_xll.BDH("XOM US Equity","BS_NET_FIX_ASSET","FQ4 2005","FQ4 2005","Currency=USD","Period=FQ","BEST_FPERIOD_OVERRIDE=FQ","FILING_STATUS=OR","SCALING_FORMAT=MLN","Sort=A","Dates=H","DateFormat=P","Fill=—","Direction=H","UseDPDF=Y")</f>
        <v>107010</v>
      </c>
      <c r="AG19" s="13">
        <f>_xll.BDH("XOM US Equity","BS_NET_FIX_ASSET","FQ1 2006","FQ1 2006","Currency=USD","Period=FQ","BEST_FPERIOD_OVERRIDE=FQ","FILING_STATUS=OR","SCALING_FORMAT=MLN","Sort=A","Dates=H","DateFormat=P","Fill=—","Direction=H","UseDPDF=Y")</f>
        <v>108397</v>
      </c>
      <c r="AH19" s="13">
        <f>_xll.BDH("XOM US Equity","BS_NET_FIX_ASSET","FQ2 2006","FQ2 2006","Currency=USD","Period=FQ","BEST_FPERIOD_OVERRIDE=FQ","FILING_STATUS=OR","SCALING_FORMAT=MLN","Sort=A","Dates=H","DateFormat=P","Fill=—","Direction=H","UseDPDF=Y")</f>
        <v>111110</v>
      </c>
      <c r="AI19" s="13">
        <f>_xll.BDH("XOM US Equity","BS_NET_FIX_ASSET","FQ3 2006","FQ3 2006","Currency=USD","Period=FQ","BEST_FPERIOD_OVERRIDE=FQ","FILING_STATUS=OR","SCALING_FORMAT=MLN","Sort=A","Dates=H","DateFormat=P","Fill=—","Direction=H","UseDPDF=Y")</f>
        <v>111722</v>
      </c>
      <c r="AJ19" s="13">
        <f>_xll.BDH("XOM US Equity","BS_NET_FIX_ASSET","FQ4 2006","FQ4 2006","Currency=USD","Period=FQ","BEST_FPERIOD_OVERRIDE=FQ","FILING_STATUS=OR","SCALING_FORMAT=MLN","Sort=A","Dates=H","DateFormat=P","Fill=—","Direction=H","UseDPDF=Y")</f>
        <v>113687</v>
      </c>
      <c r="AK19" s="13">
        <f>_xll.BDH("XOM US Equity","BS_NET_FIX_ASSET","FQ1 2007","FQ1 2007","Currency=USD","Period=FQ","BEST_FPERIOD_OVERRIDE=FQ","FILING_STATUS=OR","SCALING_FORMAT=MLN","Sort=A","Dates=H","DateFormat=P","Fill=—","Direction=H","UseDPDF=Y")</f>
        <v>114201</v>
      </c>
      <c r="AL19" s="13">
        <f>_xll.BDH("XOM US Equity","BS_NET_FIX_ASSET","FQ2 2007","FQ2 2007","Currency=USD","Period=FQ","BEST_FPERIOD_OVERRIDE=FQ","FILING_STATUS=OR","SCALING_FORMAT=MLN","Sort=A","Dates=H","DateFormat=P","Fill=—","Direction=H","UseDPDF=Y")</f>
        <v>116058</v>
      </c>
      <c r="AM19" s="13">
        <f>_xll.BDH("XOM US Equity","BS_NET_FIX_ASSET","FQ3 2007","FQ3 2007","Currency=USD","Period=FQ","BEST_FPERIOD_OVERRIDE=FQ","FILING_STATUS=OR","SCALING_FORMAT=MLN","Sort=A","Dates=H","DateFormat=P","Fill=—","Direction=H","UseDPDF=Y")</f>
        <v>119102</v>
      </c>
      <c r="AN19" s="13">
        <f>_xll.BDH("XOM US Equity","BS_NET_FIX_ASSET","FQ4 2007","FQ4 2007","Currency=USD","Period=FQ","BEST_FPERIOD_OVERRIDE=FQ","FILING_STATUS=OR","SCALING_FORMAT=MLN","Sort=A","Dates=H","DateFormat=P","Fill=—","Direction=H","UseDPDF=Y")</f>
        <v>120869</v>
      </c>
      <c r="AO19" s="13">
        <f>_xll.BDH("XOM US Equity","BS_NET_FIX_ASSET","FQ1 2008","FQ1 2008","Currency=USD","Period=FQ","BEST_FPERIOD_OVERRIDE=FQ","FILING_STATUS=OR","SCALING_FORMAT=MLN","Sort=A","Dates=H","DateFormat=P","Fill=—","Direction=H","UseDPDF=Y")</f>
        <v>122935</v>
      </c>
      <c r="AP19" s="13">
        <f>_xll.BDH("XOM US Equity","BS_NET_FIX_ASSET","FQ2 2008","FQ2 2008","Currency=USD","Period=FQ","BEST_FPERIOD_OVERRIDE=FQ","FILING_STATUS=OR","SCALING_FORMAT=MLN","Sort=A","Dates=H","DateFormat=P","Fill=—","Direction=H","UseDPDF=Y")</f>
        <v>124925</v>
      </c>
    </row>
    <row r="20" spans="1:42" x14ac:dyDescent="0.25">
      <c r="A20" s="10" t="s">
        <v>203</v>
      </c>
      <c r="B20" s="10" t="s">
        <v>204</v>
      </c>
      <c r="C20" s="13">
        <f>_xll.BDH("XOM US Equity","BS_GROSS_FIX_ASSET","FQ3 1998","FQ3 1998","Currency=USD","Period=FQ","BEST_FPERIOD_OVERRIDE=FQ","FILING_STATUS=OR","SCALING_FORMAT=MLN","Sort=A","Dates=H","DateFormat=P","Fill=—","Direction=H","UseDPDF=Y")</f>
        <v>133160</v>
      </c>
      <c r="D20" s="13">
        <f>_xll.BDH("XOM US Equity","BS_GROSS_FIX_ASSET","FQ4 1998","FQ4 1998","Currency=USD","Period=FQ","BEST_FPERIOD_OVERRIDE=FQ","FILING_STATUS=OR","SCALING_FORMAT=MLN","Sort=A","Dates=H","DateFormat=P","Fill=—","Direction=H","UseDPDF=Y")</f>
        <v>128248</v>
      </c>
      <c r="E20" s="13" t="str">
        <f>_xll.BDH("XOM US Equity","BS_GROSS_FIX_ASSET","FQ1 1999","FQ1 1999","Currency=USD","Period=FQ","BEST_FPERIOD_OVERRIDE=FQ","FILING_STATUS=OR","SCALING_FORMAT=MLN","Sort=A","Dates=H","DateFormat=P","Fill=—","Direction=H","UseDPDF=Y")</f>
        <v>—</v>
      </c>
      <c r="F20" s="13" t="str">
        <f>_xll.BDH("XOM US Equity","BS_GROSS_FIX_ASSET","FQ2 1999","FQ2 1999","Currency=USD","Period=FQ","BEST_FPERIOD_OVERRIDE=FQ","FILING_STATUS=OR","SCALING_FORMAT=MLN","Sort=A","Dates=H","DateFormat=P","Fill=—","Direction=H","UseDPDF=Y")</f>
        <v>—</v>
      </c>
      <c r="G20" s="13" t="str">
        <f>_xll.BDH("XOM US Equity","BS_GROSS_FIX_ASSET","FQ3 1999","FQ3 1999","Currency=USD","Period=FQ","BEST_FPERIOD_OVERRIDE=FQ","FILING_STATUS=OR","SCALING_FORMAT=MLN","Sort=A","Dates=H","DateFormat=P","Fill=—","Direction=H","UseDPDF=Y")</f>
        <v>—</v>
      </c>
      <c r="H20" s="13">
        <f>_xll.BDH("XOM US Equity","BS_GROSS_FIX_ASSET","FQ4 1999","FQ4 1999","Currency=USD","Period=FQ","BEST_FPERIOD_OVERRIDE=FQ","FILING_STATUS=OR","SCALING_FORMAT=MLN","Sort=A","Dates=H","DateFormat=P","Fill=—","Direction=H","UseDPDF=Y")</f>
        <v>189212</v>
      </c>
      <c r="I20" s="13">
        <f>_xll.BDH("XOM US Equity","BS_GROSS_FIX_ASSET","FQ1 2000","FQ1 2000","Currency=USD","Period=FQ","BEST_FPERIOD_OVERRIDE=FQ","FILING_STATUS=OR","SCALING_FORMAT=MLN","Sort=A","Dates=H","DateFormat=P","Fill=—","Direction=H","UseDPDF=Y")</f>
        <v>188420</v>
      </c>
      <c r="J20" s="13" t="str">
        <f>_xll.BDH("XOM US Equity","BS_GROSS_FIX_ASSET","FQ2 2000","FQ2 2000","Currency=USD","Period=FQ","BEST_FPERIOD_OVERRIDE=FQ","FILING_STATUS=OR","SCALING_FORMAT=MLN","Sort=A","Dates=H","DateFormat=P","Fill=—","Direction=H","UseDPDF=Y")</f>
        <v>—</v>
      </c>
      <c r="K20" s="13" t="str">
        <f>_xll.BDH("XOM US Equity","BS_GROSS_FIX_ASSET","FQ3 2000","FQ3 2000","Currency=USD","Period=FQ","BEST_FPERIOD_OVERRIDE=FQ","FILING_STATUS=OR","SCALING_FORMAT=MLN","Sort=A","Dates=H","DateFormat=P","Fill=—","Direction=H","UseDPDF=Y")</f>
        <v>—</v>
      </c>
      <c r="L20" s="13">
        <f>_xll.BDH("XOM US Equity","BS_GROSS_FIX_ASSET","FQ4 2000","FQ4 2000","Currency=USD","Period=FQ","BEST_FPERIOD_OVERRIDE=FQ","FILING_STATUS=OR","SCALING_FORMAT=MLN","Sort=A","Dates=H","DateFormat=P","Fill=—","Direction=H","UseDPDF=Y")</f>
        <v>187746</v>
      </c>
      <c r="M20" s="13" t="str">
        <f>_xll.BDH("XOM US Equity","BS_GROSS_FIX_ASSET","FQ1 2001","FQ1 2001","Currency=USD","Period=FQ","BEST_FPERIOD_OVERRIDE=FQ","FILING_STATUS=OR","SCALING_FORMAT=MLN","Sort=A","Dates=H","DateFormat=P","Fill=—","Direction=H","UseDPDF=Y")</f>
        <v>—</v>
      </c>
      <c r="N20" s="13" t="str">
        <f>_xll.BDH("XOM US Equity","BS_GROSS_FIX_ASSET","FQ2 2001","FQ2 2001","Currency=USD","Period=FQ","BEST_FPERIOD_OVERRIDE=FQ","FILING_STATUS=OR","SCALING_FORMAT=MLN","Sort=A","Dates=H","DateFormat=P","Fill=—","Direction=H","UseDPDF=Y")</f>
        <v>—</v>
      </c>
      <c r="O20" s="13" t="str">
        <f>_xll.BDH("XOM US Equity","BS_GROSS_FIX_ASSET","FQ3 2001","FQ3 2001","Currency=USD","Period=FQ","BEST_FPERIOD_OVERRIDE=FQ","FILING_STATUS=OR","SCALING_FORMAT=MLN","Sort=A","Dates=H","DateFormat=P","Fill=—","Direction=H","UseDPDF=Y")</f>
        <v>—</v>
      </c>
      <c r="P20" s="13">
        <f>_xll.BDH("XOM US Equity","BS_GROSS_FIX_ASSET","FQ4 2001","FQ4 2001","Currency=USD","Period=FQ","BEST_FPERIOD_OVERRIDE=FQ","FILING_STATUS=OR","SCALING_FORMAT=MLN","Sort=A","Dates=H","DateFormat=P","Fill=—","Direction=H","UseDPDF=Y")</f>
        <v>190503</v>
      </c>
      <c r="Q20" s="13" t="str">
        <f>_xll.BDH("XOM US Equity","BS_GROSS_FIX_ASSET","FQ1 2002","FQ1 2002","Currency=USD","Period=FQ","BEST_FPERIOD_OVERRIDE=FQ","FILING_STATUS=OR","SCALING_FORMAT=MLN","Sort=A","Dates=H","DateFormat=P","Fill=—","Direction=H","UseDPDF=Y")</f>
        <v>—</v>
      </c>
      <c r="R20" s="13" t="str">
        <f>_xll.BDH("XOM US Equity","BS_GROSS_FIX_ASSET","FQ2 2002","FQ2 2002","Currency=USD","Period=FQ","BEST_FPERIOD_OVERRIDE=FQ","FILING_STATUS=OR","SCALING_FORMAT=MLN","Sort=A","Dates=H","DateFormat=P","Fill=—","Direction=H","UseDPDF=Y")</f>
        <v>—</v>
      </c>
      <c r="S20" s="13" t="str">
        <f>_xll.BDH("XOM US Equity","BS_GROSS_FIX_ASSET","FQ3 2002","FQ3 2002","Currency=USD","Period=FQ","BEST_FPERIOD_OVERRIDE=FQ","FILING_STATUS=OR","SCALING_FORMAT=MLN","Sort=A","Dates=H","DateFormat=P","Fill=—","Direction=H","UseDPDF=Y")</f>
        <v>—</v>
      </c>
      <c r="T20" s="13">
        <f>_xll.BDH("XOM US Equity","BS_GROSS_FIX_ASSET","FQ4 2002","FQ4 2002","Currency=USD","Period=FQ","BEST_FPERIOD_OVERRIDE=FQ","FILING_STATUS=OR","SCALING_FORMAT=MLN","Sort=A","Dates=H","DateFormat=P","Fill=—","Direction=H","UseDPDF=Y")</f>
        <v>204960</v>
      </c>
      <c r="U20" s="13" t="str">
        <f>_xll.BDH("XOM US Equity","BS_GROSS_FIX_ASSET","FQ1 2003","FQ1 2003","Currency=USD","Period=FQ","BEST_FPERIOD_OVERRIDE=FQ","FILING_STATUS=OR","SCALING_FORMAT=MLN","Sort=A","Dates=H","DateFormat=P","Fill=—","Direction=H","UseDPDF=Y")</f>
        <v>—</v>
      </c>
      <c r="V20" s="13" t="str">
        <f>_xll.BDH("XOM US Equity","BS_GROSS_FIX_ASSET","FQ2 2003","FQ2 2003","Currency=USD","Period=FQ","BEST_FPERIOD_OVERRIDE=FQ","FILING_STATUS=OR","SCALING_FORMAT=MLN","Sort=A","Dates=H","DateFormat=P","Fill=—","Direction=H","UseDPDF=Y")</f>
        <v>—</v>
      </c>
      <c r="W20" s="13" t="str">
        <f>_xll.BDH("XOM US Equity","BS_GROSS_FIX_ASSET","FQ3 2003","FQ3 2003","Currency=USD","Period=FQ","BEST_FPERIOD_OVERRIDE=FQ","FILING_STATUS=OR","SCALING_FORMAT=MLN","Sort=A","Dates=H","DateFormat=P","Fill=—","Direction=H","UseDPDF=Y")</f>
        <v>—</v>
      </c>
      <c r="X20" s="13">
        <f>_xll.BDH("XOM US Equity","BS_GROSS_FIX_ASSET","FQ4 2003","FQ4 2003","Currency=USD","Period=FQ","BEST_FPERIOD_OVERRIDE=FQ","FILING_STATUS=OR","SCALING_FORMAT=MLN","Sort=A","Dates=H","DateFormat=P","Fill=—","Direction=H","UseDPDF=Y")</f>
        <v>229315</v>
      </c>
      <c r="Y20" s="13" t="str">
        <f>_xll.BDH("XOM US Equity","BS_GROSS_FIX_ASSET","FQ1 2004","FQ1 2004","Currency=USD","Period=FQ","BEST_FPERIOD_OVERRIDE=FQ","FILING_STATUS=OR","SCALING_FORMAT=MLN","Sort=A","Dates=H","DateFormat=P","Fill=—","Direction=H","UseDPDF=Y")</f>
        <v>—</v>
      </c>
      <c r="Z20" s="13" t="str">
        <f>_xll.BDH("XOM US Equity","BS_GROSS_FIX_ASSET","FQ2 2004","FQ2 2004","Currency=USD","Period=FQ","BEST_FPERIOD_OVERRIDE=FQ","FILING_STATUS=OR","SCALING_FORMAT=MLN","Sort=A","Dates=H","DateFormat=P","Fill=—","Direction=H","UseDPDF=Y")</f>
        <v>—</v>
      </c>
      <c r="AA20" s="13" t="str">
        <f>_xll.BDH("XOM US Equity","BS_GROSS_FIX_ASSET","FQ3 2004","FQ3 2004","Currency=USD","Period=FQ","BEST_FPERIOD_OVERRIDE=FQ","FILING_STATUS=OR","SCALING_FORMAT=MLN","Sort=A","Dates=H","DateFormat=P","Fill=—","Direction=H","UseDPDF=Y")</f>
        <v>—</v>
      </c>
      <c r="AB20" s="13">
        <f>_xll.BDH("XOM US Equity","BS_GROSS_FIX_ASSET","FQ4 2004","FQ4 2004","Currency=USD","Period=FQ","BEST_FPERIOD_OVERRIDE=FQ","FILING_STATUS=OR","SCALING_FORMAT=MLN","Sort=A","Dates=H","DateFormat=P","Fill=—","Direction=H","UseDPDF=Y")</f>
        <v>242422</v>
      </c>
      <c r="AC20" s="13" t="str">
        <f>_xll.BDH("XOM US Equity","BS_GROSS_FIX_ASSET","FQ1 2005","FQ1 2005","Currency=USD","Period=FQ","BEST_FPERIOD_OVERRIDE=FQ","FILING_STATUS=OR","SCALING_FORMAT=MLN","Sort=A","Dates=H","DateFormat=P","Fill=—","Direction=H","UseDPDF=Y")</f>
        <v>—</v>
      </c>
      <c r="AD20" s="13" t="str">
        <f>_xll.BDH("XOM US Equity","BS_GROSS_FIX_ASSET","FQ2 2005","FQ2 2005","Currency=USD","Period=FQ","BEST_FPERIOD_OVERRIDE=FQ","FILING_STATUS=OR","SCALING_FORMAT=MLN","Sort=A","Dates=H","DateFormat=P","Fill=—","Direction=H","UseDPDF=Y")</f>
        <v>—</v>
      </c>
      <c r="AE20" s="13" t="str">
        <f>_xll.BDH("XOM US Equity","BS_GROSS_FIX_ASSET","FQ3 2005","FQ3 2005","Currency=USD","Period=FQ","BEST_FPERIOD_OVERRIDE=FQ","FILING_STATUS=OR","SCALING_FORMAT=MLN","Sort=A","Dates=H","DateFormat=P","Fill=—","Direction=H","UseDPDF=Y")</f>
        <v>—</v>
      </c>
      <c r="AF20" s="13">
        <f>_xll.BDH("XOM US Equity","BS_GROSS_FIX_ASSET","FQ4 2005","FQ4 2005","Currency=USD","Period=FQ","BEST_FPERIOD_OVERRIDE=FQ","FILING_STATUS=OR","SCALING_FORMAT=MLN","Sort=A","Dates=H","DateFormat=P","Fill=—","Direction=H","UseDPDF=Y")</f>
        <v>240294</v>
      </c>
      <c r="AG20" s="13" t="str">
        <f>_xll.BDH("XOM US Equity","BS_GROSS_FIX_ASSET","FQ1 2006","FQ1 2006","Currency=USD","Period=FQ","BEST_FPERIOD_OVERRIDE=FQ","FILING_STATUS=OR","SCALING_FORMAT=MLN","Sort=A","Dates=H","DateFormat=P","Fill=—","Direction=H","UseDPDF=Y")</f>
        <v>—</v>
      </c>
      <c r="AH20" s="13" t="str">
        <f>_xll.BDH("XOM US Equity","BS_GROSS_FIX_ASSET","FQ2 2006","FQ2 2006","Currency=USD","Period=FQ","BEST_FPERIOD_OVERRIDE=FQ","FILING_STATUS=OR","SCALING_FORMAT=MLN","Sort=A","Dates=H","DateFormat=P","Fill=—","Direction=H","UseDPDF=Y")</f>
        <v>—</v>
      </c>
      <c r="AI20" s="13" t="str">
        <f>_xll.BDH("XOM US Equity","BS_GROSS_FIX_ASSET","FQ3 2006","FQ3 2006","Currency=USD","Period=FQ","BEST_FPERIOD_OVERRIDE=FQ","FILING_STATUS=OR","SCALING_FORMAT=MLN","Sort=A","Dates=H","DateFormat=P","Fill=—","Direction=H","UseDPDF=Y")</f>
        <v>—</v>
      </c>
      <c r="AJ20" s="13">
        <f>_xll.BDH("XOM US Equity","BS_GROSS_FIX_ASSET","FQ4 2006","FQ4 2006","Currency=USD","Period=FQ","BEST_FPERIOD_OVERRIDE=FQ","FILING_STATUS=OR","SCALING_FORMAT=MLN","Sort=A","Dates=H","DateFormat=P","Fill=—","Direction=H","UseDPDF=Y")</f>
        <v>259284</v>
      </c>
      <c r="AK20" s="13" t="str">
        <f>_xll.BDH("XOM US Equity","BS_GROSS_FIX_ASSET","FQ1 2007","FQ1 2007","Currency=USD","Period=FQ","BEST_FPERIOD_OVERRIDE=FQ","FILING_STATUS=OR","SCALING_FORMAT=MLN","Sort=A","Dates=H","DateFormat=P","Fill=—","Direction=H","UseDPDF=Y")</f>
        <v>—</v>
      </c>
      <c r="AL20" s="13" t="str">
        <f>_xll.BDH("XOM US Equity","BS_GROSS_FIX_ASSET","FQ2 2007","FQ2 2007","Currency=USD","Period=FQ","BEST_FPERIOD_OVERRIDE=FQ","FILING_STATUS=OR","SCALING_FORMAT=MLN","Sort=A","Dates=H","DateFormat=P","Fill=—","Direction=H","UseDPDF=Y")</f>
        <v>—</v>
      </c>
      <c r="AM20" s="13" t="str">
        <f>_xll.BDH("XOM US Equity","BS_GROSS_FIX_ASSET","FQ3 2007","FQ3 2007","Currency=USD","Period=FQ","BEST_FPERIOD_OVERRIDE=FQ","FILING_STATUS=OR","SCALING_FORMAT=MLN","Sort=A","Dates=H","DateFormat=P","Fill=—","Direction=H","UseDPDF=Y")</f>
        <v>—</v>
      </c>
      <c r="AN20" s="13">
        <f>_xll.BDH("XOM US Equity","BS_GROSS_FIX_ASSET","FQ4 2007","FQ4 2007","Currency=USD","Period=FQ","BEST_FPERIOD_OVERRIDE=FQ","FILING_STATUS=OR","SCALING_FORMAT=MLN","Sort=A","Dates=H","DateFormat=P","Fill=—","Direction=H","UseDPDF=Y")</f>
        <v>280340</v>
      </c>
      <c r="AO20" s="13" t="str">
        <f>_xll.BDH("XOM US Equity","BS_GROSS_FIX_ASSET","FQ1 2008","FQ1 2008","Currency=USD","Period=FQ","BEST_FPERIOD_OVERRIDE=FQ","FILING_STATUS=OR","SCALING_FORMAT=MLN","Sort=A","Dates=H","DateFormat=P","Fill=—","Direction=H","UseDPDF=Y")</f>
        <v>—</v>
      </c>
      <c r="AP20" s="13" t="str">
        <f>_xll.BDH("XOM US Equity","BS_GROSS_FIX_ASSET","FQ2 2008","FQ2 2008","Currency=USD","Period=FQ","BEST_FPERIOD_OVERRIDE=FQ","FILING_STATUS=OR","SCALING_FORMAT=MLN","Sort=A","Dates=H","DateFormat=P","Fill=—","Direction=H","UseDPDF=Y")</f>
        <v>—</v>
      </c>
    </row>
    <row r="21" spans="1:42" x14ac:dyDescent="0.25">
      <c r="A21" s="10" t="s">
        <v>205</v>
      </c>
      <c r="B21" s="10" t="s">
        <v>206</v>
      </c>
      <c r="C21" s="13">
        <f>_xll.BDH("XOM US Equity","BS_ACCUM_DEPR","FQ3 1998","FQ3 1998","Currency=USD","Period=FQ","BEST_FPERIOD_OVERRIDE=FQ","FILING_STATUS=OR","SCALING_FORMAT=MLN","Sort=A","Dates=H","DateFormat=P","Fill=—","Direction=H","UseDPDF=Y")</f>
        <v>64883</v>
      </c>
      <c r="D21" s="13">
        <f>_xll.BDH("XOM US Equity","BS_ACCUM_DEPR","FQ4 1998","FQ4 1998","Currency=USD","Period=FQ","BEST_FPERIOD_OVERRIDE=FQ","FILING_STATUS=OR","SCALING_FORMAT=MLN","Sort=A","Dates=H","DateFormat=P","Fill=—","Direction=H","UseDPDF=Y")</f>
        <v>63049</v>
      </c>
      <c r="E21" s="13" t="str">
        <f>_xll.BDH("XOM US Equity","BS_ACCUM_DEPR","FQ1 1999","FQ1 1999","Currency=USD","Period=FQ","BEST_FPERIOD_OVERRIDE=FQ","FILING_STATUS=OR","SCALING_FORMAT=MLN","Sort=A","Dates=H","DateFormat=P","Fill=—","Direction=H","UseDPDF=Y")</f>
        <v>—</v>
      </c>
      <c r="F21" s="13" t="str">
        <f>_xll.BDH("XOM US Equity","BS_ACCUM_DEPR","FQ2 1999","FQ2 1999","Currency=USD","Period=FQ","BEST_FPERIOD_OVERRIDE=FQ","FILING_STATUS=OR","SCALING_FORMAT=MLN","Sort=A","Dates=H","DateFormat=P","Fill=—","Direction=H","UseDPDF=Y")</f>
        <v>—</v>
      </c>
      <c r="G21" s="13" t="str">
        <f>_xll.BDH("XOM US Equity","BS_ACCUM_DEPR","FQ3 1999","FQ3 1999","Currency=USD","Period=FQ","BEST_FPERIOD_OVERRIDE=FQ","FILING_STATUS=OR","SCALING_FORMAT=MLN","Sort=A","Dates=H","DateFormat=P","Fill=—","Direction=H","UseDPDF=Y")</f>
        <v>—</v>
      </c>
      <c r="H21" s="13">
        <f>_xll.BDH("XOM US Equity","BS_ACCUM_DEPR","FQ4 1999","FQ4 1999","Currency=USD","Period=FQ","BEST_FPERIOD_OVERRIDE=FQ","FILING_STATUS=OR","SCALING_FORMAT=MLN","Sort=A","Dates=H","DateFormat=P","Fill=—","Direction=H","UseDPDF=Y")</f>
        <v>95169</v>
      </c>
      <c r="I21" s="13">
        <f>_xll.BDH("XOM US Equity","BS_ACCUM_DEPR","FQ1 2000","FQ1 2000","Currency=USD","Period=FQ","BEST_FPERIOD_OVERRIDE=FQ","FILING_STATUS=OR","SCALING_FORMAT=MLN","Sort=A","Dates=H","DateFormat=P","Fill=—","Direction=H","UseDPDF=Y")</f>
        <v>95867</v>
      </c>
      <c r="J21" s="13" t="str">
        <f>_xll.BDH("XOM US Equity","BS_ACCUM_DEPR","FQ2 2000","FQ2 2000","Currency=USD","Period=FQ","BEST_FPERIOD_OVERRIDE=FQ","FILING_STATUS=OR","SCALING_FORMAT=MLN","Sort=A","Dates=H","DateFormat=P","Fill=—","Direction=H","UseDPDF=Y")</f>
        <v>—</v>
      </c>
      <c r="K21" s="13" t="str">
        <f>_xll.BDH("XOM US Equity","BS_ACCUM_DEPR","FQ3 2000","FQ3 2000","Currency=USD","Period=FQ","BEST_FPERIOD_OVERRIDE=FQ","FILING_STATUS=OR","SCALING_FORMAT=MLN","Sort=A","Dates=H","DateFormat=P","Fill=—","Direction=H","UseDPDF=Y")</f>
        <v>—</v>
      </c>
      <c r="L21" s="13">
        <f>_xll.BDH("XOM US Equity","BS_ACCUM_DEPR","FQ4 2000","FQ4 2000","Currency=USD","Period=FQ","BEST_FPERIOD_OVERRIDE=FQ","FILING_STATUS=OR","SCALING_FORMAT=MLN","Sort=A","Dates=H","DateFormat=P","Fill=—","Direction=H","UseDPDF=Y")</f>
        <v>97917</v>
      </c>
      <c r="M21" s="13" t="str">
        <f>_xll.BDH("XOM US Equity","BS_ACCUM_DEPR","FQ1 2001","FQ1 2001","Currency=USD","Period=FQ","BEST_FPERIOD_OVERRIDE=FQ","FILING_STATUS=OR","SCALING_FORMAT=MLN","Sort=A","Dates=H","DateFormat=P","Fill=—","Direction=H","UseDPDF=Y")</f>
        <v>—</v>
      </c>
      <c r="N21" s="13" t="str">
        <f>_xll.BDH("XOM US Equity","BS_ACCUM_DEPR","FQ2 2001","FQ2 2001","Currency=USD","Period=FQ","BEST_FPERIOD_OVERRIDE=FQ","FILING_STATUS=OR","SCALING_FORMAT=MLN","Sort=A","Dates=H","DateFormat=P","Fill=—","Direction=H","UseDPDF=Y")</f>
        <v>—</v>
      </c>
      <c r="O21" s="13" t="str">
        <f>_xll.BDH("XOM US Equity","BS_ACCUM_DEPR","FQ3 2001","FQ3 2001","Currency=USD","Period=FQ","BEST_FPERIOD_OVERRIDE=FQ","FILING_STATUS=OR","SCALING_FORMAT=MLN","Sort=A","Dates=H","DateFormat=P","Fill=—","Direction=H","UseDPDF=Y")</f>
        <v>—</v>
      </c>
      <c r="P21" s="13">
        <f>_xll.BDH("XOM US Equity","BS_ACCUM_DEPR","FQ4 2001","FQ4 2001","Currency=USD","Period=FQ","BEST_FPERIOD_OVERRIDE=FQ","FILING_STATUS=OR","SCALING_FORMAT=MLN","Sort=A","Dates=H","DateFormat=P","Fill=—","Direction=H","UseDPDF=Y")</f>
        <v>100901</v>
      </c>
      <c r="Q21" s="13" t="str">
        <f>_xll.BDH("XOM US Equity","BS_ACCUM_DEPR","FQ1 2002","FQ1 2002","Currency=USD","Period=FQ","BEST_FPERIOD_OVERRIDE=FQ","FILING_STATUS=OR","SCALING_FORMAT=MLN","Sort=A","Dates=H","DateFormat=P","Fill=—","Direction=H","UseDPDF=Y")</f>
        <v>—</v>
      </c>
      <c r="R21" s="13" t="str">
        <f>_xll.BDH("XOM US Equity","BS_ACCUM_DEPR","FQ2 2002","FQ2 2002","Currency=USD","Period=FQ","BEST_FPERIOD_OVERRIDE=FQ","FILING_STATUS=OR","SCALING_FORMAT=MLN","Sort=A","Dates=H","DateFormat=P","Fill=—","Direction=H","UseDPDF=Y")</f>
        <v>—</v>
      </c>
      <c r="S21" s="13" t="str">
        <f>_xll.BDH("XOM US Equity","BS_ACCUM_DEPR","FQ3 2002","FQ3 2002","Currency=USD","Period=FQ","BEST_FPERIOD_OVERRIDE=FQ","FILING_STATUS=OR","SCALING_FORMAT=MLN","Sort=A","Dates=H","DateFormat=P","Fill=—","Direction=H","UseDPDF=Y")</f>
        <v>—</v>
      </c>
      <c r="T21" s="13">
        <f>_xll.BDH("XOM US Equity","BS_ACCUM_DEPR","FQ4 2002","FQ4 2002","Currency=USD","Period=FQ","BEST_FPERIOD_OVERRIDE=FQ","FILING_STATUS=OR","SCALING_FORMAT=MLN","Sort=A","Dates=H","DateFormat=P","Fill=—","Direction=H","UseDPDF=Y")</f>
        <v>110020</v>
      </c>
      <c r="U21" s="13" t="str">
        <f>_xll.BDH("XOM US Equity","BS_ACCUM_DEPR","FQ1 2003","FQ1 2003","Currency=USD","Period=FQ","BEST_FPERIOD_OVERRIDE=FQ","FILING_STATUS=OR","SCALING_FORMAT=MLN","Sort=A","Dates=H","DateFormat=P","Fill=—","Direction=H","UseDPDF=Y")</f>
        <v>—</v>
      </c>
      <c r="V21" s="13" t="str">
        <f>_xll.BDH("XOM US Equity","BS_ACCUM_DEPR","FQ2 2003","FQ2 2003","Currency=USD","Period=FQ","BEST_FPERIOD_OVERRIDE=FQ","FILING_STATUS=OR","SCALING_FORMAT=MLN","Sort=A","Dates=H","DateFormat=P","Fill=—","Direction=H","UseDPDF=Y")</f>
        <v>—</v>
      </c>
      <c r="W21" s="13" t="str">
        <f>_xll.BDH("XOM US Equity","BS_ACCUM_DEPR","FQ3 2003","FQ3 2003","Currency=USD","Period=FQ","BEST_FPERIOD_OVERRIDE=FQ","FILING_STATUS=OR","SCALING_FORMAT=MLN","Sort=A","Dates=H","DateFormat=P","Fill=—","Direction=H","UseDPDF=Y")</f>
        <v>—</v>
      </c>
      <c r="X21" s="13">
        <f>_xll.BDH("XOM US Equity","BS_ACCUM_DEPR","FQ4 2003","FQ4 2003","Currency=USD","Period=FQ","BEST_FPERIOD_OVERRIDE=FQ","FILING_STATUS=OR","SCALING_FORMAT=MLN","Sort=A","Dates=H","DateFormat=P","Fill=—","Direction=H","UseDPDF=Y")</f>
        <v>124350</v>
      </c>
      <c r="Y21" s="13" t="str">
        <f>_xll.BDH("XOM US Equity","BS_ACCUM_DEPR","FQ1 2004","FQ1 2004","Currency=USD","Period=FQ","BEST_FPERIOD_OVERRIDE=FQ","FILING_STATUS=OR","SCALING_FORMAT=MLN","Sort=A","Dates=H","DateFormat=P","Fill=—","Direction=H","UseDPDF=Y")</f>
        <v>—</v>
      </c>
      <c r="Z21" s="13" t="str">
        <f>_xll.BDH("XOM US Equity","BS_ACCUM_DEPR","FQ2 2004","FQ2 2004","Currency=USD","Period=FQ","BEST_FPERIOD_OVERRIDE=FQ","FILING_STATUS=OR","SCALING_FORMAT=MLN","Sort=A","Dates=H","DateFormat=P","Fill=—","Direction=H","UseDPDF=Y")</f>
        <v>—</v>
      </c>
      <c r="AA21" s="13" t="str">
        <f>_xll.BDH("XOM US Equity","BS_ACCUM_DEPR","FQ3 2004","FQ3 2004","Currency=USD","Period=FQ","BEST_FPERIOD_OVERRIDE=FQ","FILING_STATUS=OR","SCALING_FORMAT=MLN","Sort=A","Dates=H","DateFormat=P","Fill=—","Direction=H","UseDPDF=Y")</f>
        <v>—</v>
      </c>
      <c r="AB21" s="13">
        <f>_xll.BDH("XOM US Equity","BS_ACCUM_DEPR","FQ4 2004","FQ4 2004","Currency=USD","Period=FQ","BEST_FPERIOD_OVERRIDE=FQ","FILING_STATUS=OR","SCALING_FORMAT=MLN","Sort=A","Dates=H","DateFormat=P","Fill=—","Direction=H","UseDPDF=Y")</f>
        <v>133783</v>
      </c>
      <c r="AC21" s="13" t="str">
        <f>_xll.BDH("XOM US Equity","BS_ACCUM_DEPR","FQ1 2005","FQ1 2005","Currency=USD","Period=FQ","BEST_FPERIOD_OVERRIDE=FQ","FILING_STATUS=OR","SCALING_FORMAT=MLN","Sort=A","Dates=H","DateFormat=P","Fill=—","Direction=H","UseDPDF=Y")</f>
        <v>—</v>
      </c>
      <c r="AD21" s="13" t="str">
        <f>_xll.BDH("XOM US Equity","BS_ACCUM_DEPR","FQ2 2005","FQ2 2005","Currency=USD","Period=FQ","BEST_FPERIOD_OVERRIDE=FQ","FILING_STATUS=OR","SCALING_FORMAT=MLN","Sort=A","Dates=H","DateFormat=P","Fill=—","Direction=H","UseDPDF=Y")</f>
        <v>—</v>
      </c>
      <c r="AE21" s="13" t="str">
        <f>_xll.BDH("XOM US Equity","BS_ACCUM_DEPR","FQ3 2005","FQ3 2005","Currency=USD","Period=FQ","BEST_FPERIOD_OVERRIDE=FQ","FILING_STATUS=OR","SCALING_FORMAT=MLN","Sort=A","Dates=H","DateFormat=P","Fill=—","Direction=H","UseDPDF=Y")</f>
        <v>—</v>
      </c>
      <c r="AF21" s="13">
        <f>_xll.BDH("XOM US Equity","BS_ACCUM_DEPR","FQ4 2005","FQ4 2005","Currency=USD","Period=FQ","BEST_FPERIOD_OVERRIDE=FQ","FILING_STATUS=OR","SCALING_FORMAT=MLN","Sort=A","Dates=H","DateFormat=P","Fill=—","Direction=H","UseDPDF=Y")</f>
        <v>133284</v>
      </c>
      <c r="AG21" s="13" t="str">
        <f>_xll.BDH("XOM US Equity","BS_ACCUM_DEPR","FQ1 2006","FQ1 2006","Currency=USD","Period=FQ","BEST_FPERIOD_OVERRIDE=FQ","FILING_STATUS=OR","SCALING_FORMAT=MLN","Sort=A","Dates=H","DateFormat=P","Fill=—","Direction=H","UseDPDF=Y")</f>
        <v>—</v>
      </c>
      <c r="AH21" s="13" t="str">
        <f>_xll.BDH("XOM US Equity","BS_ACCUM_DEPR","FQ2 2006","FQ2 2006","Currency=USD","Period=FQ","BEST_FPERIOD_OVERRIDE=FQ","FILING_STATUS=OR","SCALING_FORMAT=MLN","Sort=A","Dates=H","DateFormat=P","Fill=—","Direction=H","UseDPDF=Y")</f>
        <v>—</v>
      </c>
      <c r="AI21" s="13" t="str">
        <f>_xll.BDH("XOM US Equity","BS_ACCUM_DEPR","FQ3 2006","FQ3 2006","Currency=USD","Period=FQ","BEST_FPERIOD_OVERRIDE=FQ","FILING_STATUS=OR","SCALING_FORMAT=MLN","Sort=A","Dates=H","DateFormat=P","Fill=—","Direction=H","UseDPDF=Y")</f>
        <v>—</v>
      </c>
      <c r="AJ21" s="13">
        <f>_xll.BDH("XOM US Equity","BS_ACCUM_DEPR","FQ4 2006","FQ4 2006","Currency=USD","Period=FQ","BEST_FPERIOD_OVERRIDE=FQ","FILING_STATUS=OR","SCALING_FORMAT=MLN","Sort=A","Dates=H","DateFormat=P","Fill=—","Direction=H","UseDPDF=Y")</f>
        <v>145597</v>
      </c>
      <c r="AK21" s="13" t="str">
        <f>_xll.BDH("XOM US Equity","BS_ACCUM_DEPR","FQ1 2007","FQ1 2007","Currency=USD","Period=FQ","BEST_FPERIOD_OVERRIDE=FQ","FILING_STATUS=OR","SCALING_FORMAT=MLN","Sort=A","Dates=H","DateFormat=P","Fill=—","Direction=H","UseDPDF=Y")</f>
        <v>—</v>
      </c>
      <c r="AL21" s="13" t="str">
        <f>_xll.BDH("XOM US Equity","BS_ACCUM_DEPR","FQ2 2007","FQ2 2007","Currency=USD","Period=FQ","BEST_FPERIOD_OVERRIDE=FQ","FILING_STATUS=OR","SCALING_FORMAT=MLN","Sort=A","Dates=H","DateFormat=P","Fill=—","Direction=H","UseDPDF=Y")</f>
        <v>—</v>
      </c>
      <c r="AM21" s="13" t="str">
        <f>_xll.BDH("XOM US Equity","BS_ACCUM_DEPR","FQ3 2007","FQ3 2007","Currency=USD","Period=FQ","BEST_FPERIOD_OVERRIDE=FQ","FILING_STATUS=OR","SCALING_FORMAT=MLN","Sort=A","Dates=H","DateFormat=P","Fill=—","Direction=H","UseDPDF=Y")</f>
        <v>—</v>
      </c>
      <c r="AN21" s="13">
        <f>_xll.BDH("XOM US Equity","BS_ACCUM_DEPR","FQ4 2007","FQ4 2007","Currency=USD","Period=FQ","BEST_FPERIOD_OVERRIDE=FQ","FILING_STATUS=OR","SCALING_FORMAT=MLN","Sort=A","Dates=H","DateFormat=P","Fill=—","Direction=H","UseDPDF=Y")</f>
        <v>159471</v>
      </c>
      <c r="AO21" s="13" t="str">
        <f>_xll.BDH("XOM US Equity","BS_ACCUM_DEPR","FQ1 2008","FQ1 2008","Currency=USD","Period=FQ","BEST_FPERIOD_OVERRIDE=FQ","FILING_STATUS=OR","SCALING_FORMAT=MLN","Sort=A","Dates=H","DateFormat=P","Fill=—","Direction=H","UseDPDF=Y")</f>
        <v>—</v>
      </c>
      <c r="AP21" s="13" t="str">
        <f>_xll.BDH("XOM US Equity","BS_ACCUM_DEPR","FQ2 2008","FQ2 2008","Currency=USD","Period=FQ","BEST_FPERIOD_OVERRIDE=FQ","FILING_STATUS=OR","SCALING_FORMAT=MLN","Sort=A","Dates=H","DateFormat=P","Fill=—","Direction=H","UseDPDF=Y")</f>
        <v>—</v>
      </c>
    </row>
    <row r="22" spans="1:42" x14ac:dyDescent="0.25">
      <c r="A22" s="10" t="s">
        <v>207</v>
      </c>
      <c r="B22" s="10" t="s">
        <v>208</v>
      </c>
      <c r="C22" s="13" t="str">
        <f>_xll.BDH("XOM US Equity","BS_LT_INVEST","FQ3 1998","FQ3 1998","Currency=USD","Period=FQ","BEST_FPERIOD_OVERRIDE=FQ","FILING_STATUS=OR","SCALING_FORMAT=MLN","Sort=A","Dates=H","DateFormat=P","Fill=—","Direction=H","UseDPDF=Y")</f>
        <v>—</v>
      </c>
      <c r="D22" s="13">
        <f>_xll.BDH("XOM US Equity","BS_LT_INVEST","FQ4 1998","FQ4 1998","Currency=USD","Period=FQ","BEST_FPERIOD_OVERRIDE=FQ","FILING_STATUS=OR","SCALING_FORMAT=MLN","Sort=A","Dates=H","DateFormat=P","Fill=—","Direction=H","UseDPDF=Y")</f>
        <v>6434</v>
      </c>
      <c r="E22" s="13">
        <f>_xll.BDH("XOM US Equity","BS_LT_INVEST","FQ1 1999","FQ1 1999","Currency=USD","Period=FQ","BEST_FPERIOD_OVERRIDE=FQ","FILING_STATUS=OR","SCALING_FORMAT=MLN","Sort=A","Dates=H","DateFormat=P","Fill=—","Direction=H","UseDPDF=Y")</f>
        <v>9607</v>
      </c>
      <c r="F22" s="13">
        <f>_xll.BDH("XOM US Equity","BS_LT_INVEST","FQ2 1999","FQ2 1999","Currency=USD","Period=FQ","BEST_FPERIOD_OVERRIDE=FQ","FILING_STATUS=OR","SCALING_FORMAT=MLN","Sort=A","Dates=H","DateFormat=P","Fill=—","Direction=H","UseDPDF=Y")</f>
        <v>9804</v>
      </c>
      <c r="G22" s="13">
        <f>_xll.BDH("XOM US Equity","BS_LT_INVEST","FQ3 1999","FQ3 1999","Currency=USD","Period=FQ","BEST_FPERIOD_OVERRIDE=FQ","FILING_STATUS=OR","SCALING_FORMAT=MLN","Sort=A","Dates=H","DateFormat=P","Fill=—","Direction=H","UseDPDF=Y")</f>
        <v>10347</v>
      </c>
      <c r="H22" s="13">
        <f>_xll.BDH("XOM US Equity","BS_LT_INVEST","FQ4 1999","FQ4 1999","Currency=USD","Period=FQ","BEST_FPERIOD_OVERRIDE=FQ","FILING_STATUS=OR","SCALING_FORMAT=MLN","Sort=A","Dates=H","DateFormat=P","Fill=—","Direction=H","UseDPDF=Y")</f>
        <v>14544</v>
      </c>
      <c r="I22" s="13">
        <f>_xll.BDH("XOM US Equity","BS_LT_INVEST","FQ1 2000","FQ1 2000","Currency=USD","Period=FQ","BEST_FPERIOD_OVERRIDE=FQ","FILING_STATUS=OR","SCALING_FORMAT=MLN","Sort=A","Dates=H","DateFormat=P","Fill=—","Direction=H","UseDPDF=Y")</f>
        <v>18305</v>
      </c>
      <c r="J22" s="13">
        <f>_xll.BDH("XOM US Equity","BS_LT_INVEST","FQ2 2000","FQ2 2000","Currency=USD","Period=FQ","BEST_FPERIOD_OVERRIDE=FQ","FILING_STATUS=OR","SCALING_FORMAT=MLN","Sort=A","Dates=H","DateFormat=P","Fill=—","Direction=H","UseDPDF=Y")</f>
        <v>18264</v>
      </c>
      <c r="K22" s="13">
        <f>_xll.BDH("XOM US Equity","BS_LT_INVEST","FQ3 2000","FQ3 2000","Currency=USD","Period=FQ","BEST_FPERIOD_OVERRIDE=FQ","FILING_STATUS=OR","SCALING_FORMAT=MLN","Sort=A","Dates=H","DateFormat=P","Fill=—","Direction=H","UseDPDF=Y")</f>
        <v>18736</v>
      </c>
      <c r="L22" s="13">
        <f>_xll.BDH("XOM US Equity","BS_LT_INVEST","FQ4 2000","FQ4 2000","Currency=USD","Period=FQ","BEST_FPERIOD_OVERRIDE=FQ","FILING_STATUS=OR","SCALING_FORMAT=MLN","Sort=A","Dates=H","DateFormat=P","Fill=—","Direction=H","UseDPDF=Y")</f>
        <v>2014</v>
      </c>
      <c r="M22" s="13">
        <f>_xll.BDH("XOM US Equity","BS_LT_INVEST","FQ1 2001","FQ1 2001","Currency=USD","Period=FQ","BEST_FPERIOD_OVERRIDE=FQ","FILING_STATUS=OR","SCALING_FORMAT=MLN","Sort=A","Dates=H","DateFormat=P","Fill=—","Direction=H","UseDPDF=Y")</f>
        <v>18253</v>
      </c>
      <c r="N22" s="13">
        <f>_xll.BDH("XOM US Equity","BS_LT_INVEST","FQ2 2001","FQ2 2001","Currency=USD","Period=FQ","BEST_FPERIOD_OVERRIDE=FQ","FILING_STATUS=OR","SCALING_FORMAT=MLN","Sort=A","Dates=H","DateFormat=P","Fill=—","Direction=H","UseDPDF=Y")</f>
        <v>17982</v>
      </c>
      <c r="O22" s="13">
        <f>_xll.BDH("XOM US Equity","BS_LT_INVEST","FQ3 2001","FQ3 2001","Currency=USD","Period=FQ","BEST_FPERIOD_OVERRIDE=FQ","FILING_STATUS=OR","SCALING_FORMAT=MLN","Sort=A","Dates=H","DateFormat=P","Fill=—","Direction=H","UseDPDF=Y")</f>
        <v>18044</v>
      </c>
      <c r="P22" s="13">
        <f>_xll.BDH("XOM US Equity","BS_LT_INVEST","FQ4 2001","FQ4 2001","Currency=USD","Period=FQ","BEST_FPERIOD_OVERRIDE=FQ","FILING_STATUS=OR","SCALING_FORMAT=MLN","Sort=A","Dates=H","DateFormat=P","Fill=—","Direction=H","UseDPDF=Y")</f>
        <v>1313</v>
      </c>
      <c r="Q22" s="13">
        <f>_xll.BDH("XOM US Equity","BS_LT_INVEST","FQ1 2002","FQ1 2002","Currency=USD","Period=FQ","BEST_FPERIOD_OVERRIDE=FQ","FILING_STATUS=OR","SCALING_FORMAT=MLN","Sort=A","Dates=H","DateFormat=P","Fill=—","Direction=H","UseDPDF=Y")</f>
        <v>17329</v>
      </c>
      <c r="R22" s="13">
        <f>_xll.BDH("XOM US Equity","BS_LT_INVEST","FQ2 2002","FQ2 2002","Currency=USD","Period=FQ","BEST_FPERIOD_OVERRIDE=FQ","FILING_STATUS=OR","SCALING_FORMAT=MLN","Sort=A","Dates=H","DateFormat=P","Fill=—","Direction=H","UseDPDF=Y")</f>
        <v>18905</v>
      </c>
      <c r="S22" s="13">
        <f>_xll.BDH("XOM US Equity","BS_LT_INVEST","FQ3 2002","FQ3 2002","Currency=USD","Period=FQ","BEST_FPERIOD_OVERRIDE=FQ","FILING_STATUS=OR","SCALING_FORMAT=MLN","Sort=A","Dates=H","DateFormat=P","Fill=—","Direction=H","UseDPDF=Y")</f>
        <v>19471</v>
      </c>
      <c r="T22" s="13">
        <f>_xll.BDH("XOM US Equity","BS_LT_INVEST","FQ4 2002","FQ4 2002","Currency=USD","Period=FQ","BEST_FPERIOD_OVERRIDE=FQ","FILING_STATUS=OR","SCALING_FORMAT=MLN","Sort=A","Dates=H","DateFormat=P","Fill=—","Direction=H","UseDPDF=Y")</f>
        <v>1164</v>
      </c>
      <c r="U22" s="13">
        <f>_xll.BDH("XOM US Equity","BS_LT_INVEST","FQ1 2003","FQ1 2003","Currency=USD","Period=FQ","BEST_FPERIOD_OVERRIDE=FQ","FILING_STATUS=OR","SCALING_FORMAT=MLN","Sort=A","Dates=H","DateFormat=P","Fill=—","Direction=H","UseDPDF=Y")</f>
        <v>20426</v>
      </c>
      <c r="V22" s="13">
        <f>_xll.BDH("XOM US Equity","BS_LT_INVEST","FQ2 2003","FQ2 2003","Currency=USD","Period=FQ","BEST_FPERIOD_OVERRIDE=FQ","FILING_STATUS=OR","SCALING_FORMAT=MLN","Sort=A","Dates=H","DateFormat=P","Fill=—","Direction=H","UseDPDF=Y")</f>
        <v>21537</v>
      </c>
      <c r="W22" s="13">
        <f>_xll.BDH("XOM US Equity","BS_LT_INVEST","FQ3 2003","FQ3 2003","Currency=USD","Period=FQ","BEST_FPERIOD_OVERRIDE=FQ","FILING_STATUS=OR","SCALING_FORMAT=MLN","Sort=A","Dates=H","DateFormat=P","Fill=—","Direction=H","UseDPDF=Y")</f>
        <v>22837</v>
      </c>
      <c r="X22" s="13">
        <f>_xll.BDH("XOM US Equity","BS_LT_INVEST","FQ4 2003","FQ4 2003","Currency=USD","Period=FQ","BEST_FPERIOD_OVERRIDE=FQ","FILING_STATUS=OR","SCALING_FORMAT=MLN","Sort=A","Dates=H","DateFormat=P","Fill=—","Direction=H","UseDPDF=Y")</f>
        <v>1104</v>
      </c>
      <c r="Y22" s="13">
        <f>_xll.BDH("XOM US Equity","BS_LT_INVEST","FQ1 2004","FQ1 2004","Currency=USD","Period=FQ","BEST_FPERIOD_OVERRIDE=FQ","FILING_STATUS=OR","SCALING_FORMAT=MLN","Sort=A","Dates=H","DateFormat=P","Fill=—","Direction=H","UseDPDF=Y")</f>
        <v>22943</v>
      </c>
      <c r="Z22" s="13">
        <f>_xll.BDH("XOM US Equity","BS_LT_INVEST","FQ2 2004","FQ2 2004","Currency=USD","Period=FQ","BEST_FPERIOD_OVERRIDE=FQ","FILING_STATUS=OR","SCALING_FORMAT=MLN","Sort=A","Dates=H","DateFormat=P","Fill=—","Direction=H","UseDPDF=Y")</f>
        <v>22885</v>
      </c>
      <c r="AA22" s="13">
        <f>_xll.BDH("XOM US Equity","BS_LT_INVEST","FQ3 2004","FQ3 2004","Currency=USD","Period=FQ","BEST_FPERIOD_OVERRIDE=FQ","FILING_STATUS=OR","SCALING_FORMAT=MLN","Sort=A","Dates=H","DateFormat=P","Fill=—","Direction=H","UseDPDF=Y")</f>
        <v>24605</v>
      </c>
      <c r="AB22" s="13">
        <f>_xll.BDH("XOM US Equity","BS_LT_INVEST","FQ4 2004","FQ4 2004","Currency=USD","Period=FQ","BEST_FPERIOD_OVERRIDE=FQ","FILING_STATUS=OR","SCALING_FORMAT=MLN","Sort=A","Dates=H","DateFormat=P","Fill=—","Direction=H","UseDPDF=Y")</f>
        <v>2863</v>
      </c>
      <c r="AC22" s="13">
        <f>_xll.BDH("XOM US Equity","BS_LT_INVEST","FQ1 2005","FQ1 2005","Currency=USD","Period=FQ","BEST_FPERIOD_OVERRIDE=FQ","FILING_STATUS=OR","SCALING_FORMAT=MLN","Sort=A","Dates=H","DateFormat=P","Fill=—","Direction=H","UseDPDF=Y")</f>
        <v>0</v>
      </c>
      <c r="AD22" s="13">
        <f>_xll.BDH("XOM US Equity","BS_LT_INVEST","FQ2 2005","FQ2 2005","Currency=USD","Period=FQ","BEST_FPERIOD_OVERRIDE=FQ","FILING_STATUS=OR","SCALING_FORMAT=MLN","Sort=A","Dates=H","DateFormat=P","Fill=—","Direction=H","UseDPDF=Y")</f>
        <v>0</v>
      </c>
      <c r="AE22" s="13">
        <f>_xll.BDH("XOM US Equity","BS_LT_INVEST","FQ3 2005","FQ3 2005","Currency=USD","Period=FQ","BEST_FPERIOD_OVERRIDE=FQ","FILING_STATUS=OR","SCALING_FORMAT=MLN","Sort=A","Dates=H","DateFormat=P","Fill=—","Direction=H","UseDPDF=Y")</f>
        <v>27897</v>
      </c>
      <c r="AF22" s="13">
        <f>_xll.BDH("XOM US Equity","BS_LT_INVEST","FQ4 2005","FQ4 2005","Currency=USD","Period=FQ","BEST_FPERIOD_OVERRIDE=FQ","FILING_STATUS=OR","SCALING_FORMAT=MLN","Sort=A","Dates=H","DateFormat=P","Fill=—","Direction=H","UseDPDF=Y")</f>
        <v>2896</v>
      </c>
      <c r="AG22" s="13">
        <f>_xll.BDH("XOM US Equity","BS_LT_INVEST","FQ1 2006","FQ1 2006","Currency=USD","Period=FQ","BEST_FPERIOD_OVERRIDE=FQ","FILING_STATUS=OR","SCALING_FORMAT=MLN","Sort=A","Dates=H","DateFormat=P","Fill=—","Direction=H","UseDPDF=Y")</f>
        <v>29131</v>
      </c>
      <c r="AH22" s="13">
        <f>_xll.BDH("XOM US Equity","BS_LT_INVEST","FQ2 2006","FQ2 2006","Currency=USD","Period=FQ","BEST_FPERIOD_OVERRIDE=FQ","FILING_STATUS=OR","SCALING_FORMAT=MLN","Sort=A","Dates=H","DateFormat=P","Fill=—","Direction=H","UseDPDF=Y")</f>
        <v>29242</v>
      </c>
      <c r="AI22" s="13">
        <f>_xll.BDH("XOM US Equity","BS_LT_INVEST","FQ3 2006","FQ3 2006","Currency=USD","Period=FQ","BEST_FPERIOD_OVERRIDE=FQ","FILING_STATUS=OR","SCALING_FORMAT=MLN","Sort=A","Dates=H","DateFormat=P","Fill=—","Direction=H","UseDPDF=Y")</f>
        <v>30472</v>
      </c>
      <c r="AJ22" s="13">
        <f>_xll.BDH("XOM US Equity","BS_LT_INVEST","FQ4 2006","FQ4 2006","Currency=USD","Period=FQ","BEST_FPERIOD_OVERRIDE=FQ","FILING_STATUS=OR","SCALING_FORMAT=MLN","Sort=A","Dates=H","DateFormat=P","Fill=—","Direction=H","UseDPDF=Y")</f>
        <v>23237</v>
      </c>
      <c r="AK22" s="13">
        <f>_xll.BDH("XOM US Equity","BS_LT_INVEST","FQ1 2007","FQ1 2007","Currency=USD","Period=FQ","BEST_FPERIOD_OVERRIDE=FQ","FILING_STATUS=OR","SCALING_FORMAT=MLN","Sort=A","Dates=H","DateFormat=P","Fill=—","Direction=H","UseDPDF=Y")</f>
        <v>0</v>
      </c>
      <c r="AL22" s="13">
        <f>_xll.BDH("XOM US Equity","BS_LT_INVEST","FQ2 2007","FQ2 2007","Currency=USD","Period=FQ","BEST_FPERIOD_OVERRIDE=FQ","FILING_STATUS=OR","SCALING_FORMAT=MLN","Sort=A","Dates=H","DateFormat=P","Fill=—","Direction=H","UseDPDF=Y")</f>
        <v>0</v>
      </c>
      <c r="AM22" s="13">
        <f>_xll.BDH("XOM US Equity","BS_LT_INVEST","FQ3 2007","FQ3 2007","Currency=USD","Period=FQ","BEST_FPERIOD_OVERRIDE=FQ","FILING_STATUS=OR","SCALING_FORMAT=MLN","Sort=A","Dates=H","DateFormat=P","Fill=—","Direction=H","UseDPDF=Y")</f>
        <v>0</v>
      </c>
      <c r="AN22" s="13">
        <f>_xll.BDH("XOM US Equity","BS_LT_INVEST","FQ4 2007","FQ4 2007","Currency=USD","Period=FQ","BEST_FPERIOD_OVERRIDE=FQ","FILING_STATUS=OR","SCALING_FORMAT=MLN","Sort=A","Dates=H","DateFormat=P","Fill=—","Direction=H","UseDPDF=Y")</f>
        <v>28194</v>
      </c>
      <c r="AO22" s="13">
        <f>_xll.BDH("XOM US Equity","BS_LT_INVEST","FQ1 2008","FQ1 2008","Currency=USD","Period=FQ","BEST_FPERIOD_OVERRIDE=FQ","FILING_STATUS=OR","SCALING_FORMAT=MLN","Sort=A","Dates=H","DateFormat=P","Fill=—","Direction=H","UseDPDF=Y")</f>
        <v>37509</v>
      </c>
      <c r="AP22" s="13">
        <f>_xll.BDH("XOM US Equity","BS_LT_INVEST","FQ2 2008","FQ2 2008","Currency=USD","Period=FQ","BEST_FPERIOD_OVERRIDE=FQ","FILING_STATUS=OR","SCALING_FORMAT=MLN","Sort=A","Dates=H","DateFormat=P","Fill=—","Direction=H","UseDPDF=Y")</f>
        <v>37851</v>
      </c>
    </row>
    <row r="23" spans="1:42" x14ac:dyDescent="0.25">
      <c r="A23" s="10" t="s">
        <v>209</v>
      </c>
      <c r="B23" s="10" t="s">
        <v>210</v>
      </c>
      <c r="C23" s="13">
        <f>_xll.BDH("XOM US Equity","BS_OTHER_ASSETS_DEF_CHRG_OTHER","FQ3 1998","FQ3 1998","Currency=USD","Period=FQ","BEST_FPERIOD_OVERRIDE=FQ","FILING_STATUS=OR","SCALING_FORMAT=MLN","Sort=A","Dates=H","DateFormat=P","Fill=—","Direction=H","UseDPDF=Y")</f>
        <v>8873</v>
      </c>
      <c r="D23" s="13">
        <f>_xll.BDH("XOM US Equity","BS_OTHER_ASSETS_DEF_CHRG_OTHER","FQ4 1998","FQ4 1998","Currency=USD","Period=FQ","BEST_FPERIOD_OVERRIDE=FQ","FILING_STATUS=OR","SCALING_FORMAT=MLN","Sort=A","Dates=H","DateFormat=P","Fill=—","Direction=H","UseDPDF=Y")</f>
        <v>3404</v>
      </c>
      <c r="E23" s="13" t="str">
        <f>_xll.BDH("XOM US Equity","BS_OTHER_ASSETS_DEF_CHRG_OTHER","FQ1 1999","FQ1 1999","Currency=USD","Period=FQ","BEST_FPERIOD_OVERRIDE=FQ","FILING_STATUS=OR","SCALING_FORMAT=MLN","Sort=A","Dates=H","DateFormat=P","Fill=—","Direction=H","UseDPDF=Y")</f>
        <v>—</v>
      </c>
      <c r="F23" s="13" t="str">
        <f>_xll.BDH("XOM US Equity","BS_OTHER_ASSETS_DEF_CHRG_OTHER","FQ2 1999","FQ2 1999","Currency=USD","Period=FQ","BEST_FPERIOD_OVERRIDE=FQ","FILING_STATUS=OR","SCALING_FORMAT=MLN","Sort=A","Dates=H","DateFormat=P","Fill=—","Direction=H","UseDPDF=Y")</f>
        <v>—</v>
      </c>
      <c r="G23" s="13" t="str">
        <f>_xll.BDH("XOM US Equity","BS_OTHER_ASSETS_DEF_CHRG_OTHER","FQ3 1999","FQ3 1999","Currency=USD","Period=FQ","BEST_FPERIOD_OVERRIDE=FQ","FILING_STATUS=OR","SCALING_FORMAT=MLN","Sort=A","Dates=H","DateFormat=P","Fill=—","Direction=H","UseDPDF=Y")</f>
        <v>—</v>
      </c>
      <c r="H23" s="13">
        <f>_xll.BDH("XOM US Equity","BS_OTHER_ASSETS_DEF_CHRG_OTHER","FQ4 1999","FQ4 1999","Currency=USD","Period=FQ","BEST_FPERIOD_OVERRIDE=FQ","FILING_STATUS=OR","SCALING_FORMAT=MLN","Sort=A","Dates=H","DateFormat=P","Fill=—","Direction=H","UseDPDF=Y")</f>
        <v>4793</v>
      </c>
      <c r="I23" s="13" t="str">
        <f>_xll.BDH("XOM US Equity","BS_OTHER_ASSETS_DEF_CHRG_OTHER","FQ1 2000","FQ1 2000","Currency=USD","Period=FQ","BEST_FPERIOD_OVERRIDE=FQ","FILING_STATUS=OR","SCALING_FORMAT=MLN","Sort=A","Dates=H","DateFormat=P","Fill=—","Direction=H","UseDPDF=Y")</f>
        <v>—</v>
      </c>
      <c r="J23" s="13" t="str">
        <f>_xll.BDH("XOM US Equity","BS_OTHER_ASSETS_DEF_CHRG_OTHER","FQ2 2000","FQ2 2000","Currency=USD","Period=FQ","BEST_FPERIOD_OVERRIDE=FQ","FILING_STATUS=OR","SCALING_FORMAT=MLN","Sort=A","Dates=H","DateFormat=P","Fill=—","Direction=H","UseDPDF=Y")</f>
        <v>—</v>
      </c>
      <c r="K23" s="13" t="str">
        <f>_xll.BDH("XOM US Equity","BS_OTHER_ASSETS_DEF_CHRG_OTHER","FQ3 2000","FQ3 2000","Currency=USD","Period=FQ","BEST_FPERIOD_OVERRIDE=FQ","FILING_STATUS=OR","SCALING_FORMAT=MLN","Sort=A","Dates=H","DateFormat=P","Fill=—","Direction=H","UseDPDF=Y")</f>
        <v>—</v>
      </c>
      <c r="L23" s="13">
        <f>_xll.BDH("XOM US Equity","BS_OTHER_ASSETS_DEF_CHRG_OTHER","FQ4 2000","FQ4 2000","Currency=USD","Period=FQ","BEST_FPERIOD_OVERRIDE=FQ","FILING_STATUS=OR","SCALING_FORMAT=MLN","Sort=A","Dates=H","DateFormat=P","Fill=—","Direction=H","UseDPDF=Y")</f>
        <v>16758</v>
      </c>
      <c r="M23" s="13" t="str">
        <f>_xll.BDH("XOM US Equity","BS_OTHER_ASSETS_DEF_CHRG_OTHER","FQ1 2001","FQ1 2001","Currency=USD","Period=FQ","BEST_FPERIOD_OVERRIDE=FQ","FILING_STATUS=OR","SCALING_FORMAT=MLN","Sort=A","Dates=H","DateFormat=P","Fill=—","Direction=H","UseDPDF=Y")</f>
        <v>—</v>
      </c>
      <c r="N23" s="13" t="str">
        <f>_xll.BDH("XOM US Equity","BS_OTHER_ASSETS_DEF_CHRG_OTHER","FQ2 2001","FQ2 2001","Currency=USD","Period=FQ","BEST_FPERIOD_OVERRIDE=FQ","FILING_STATUS=OR","SCALING_FORMAT=MLN","Sort=A","Dates=H","DateFormat=P","Fill=—","Direction=H","UseDPDF=Y")</f>
        <v>—</v>
      </c>
      <c r="O23" s="13" t="str">
        <f>_xll.BDH("XOM US Equity","BS_OTHER_ASSETS_DEF_CHRG_OTHER","FQ3 2001","FQ3 2001","Currency=USD","Period=FQ","BEST_FPERIOD_OVERRIDE=FQ","FILING_STATUS=OR","SCALING_FORMAT=MLN","Sort=A","Dates=H","DateFormat=P","Fill=—","Direction=H","UseDPDF=Y")</f>
        <v>—</v>
      </c>
      <c r="P23" s="13">
        <f>_xll.BDH("XOM US Equity","BS_OTHER_ASSETS_DEF_CHRG_OTHER","FQ4 2001","FQ4 2001","Currency=USD","Period=FQ","BEST_FPERIOD_OVERRIDE=FQ","FILING_STATUS=OR","SCALING_FORMAT=MLN","Sort=A","Dates=H","DateFormat=P","Fill=—","Direction=H","UseDPDF=Y")</f>
        <v>16578</v>
      </c>
      <c r="Q23" s="13" t="str">
        <f>_xll.BDH("XOM US Equity","BS_OTHER_ASSETS_DEF_CHRG_OTHER","FQ1 2002","FQ1 2002","Currency=USD","Period=FQ","BEST_FPERIOD_OVERRIDE=FQ","FILING_STATUS=OR","SCALING_FORMAT=MLN","Sort=A","Dates=H","DateFormat=P","Fill=—","Direction=H","UseDPDF=Y")</f>
        <v>—</v>
      </c>
      <c r="R23" s="13" t="str">
        <f>_xll.BDH("XOM US Equity","BS_OTHER_ASSETS_DEF_CHRG_OTHER","FQ2 2002","FQ2 2002","Currency=USD","Period=FQ","BEST_FPERIOD_OVERRIDE=FQ","FILING_STATUS=OR","SCALING_FORMAT=MLN","Sort=A","Dates=H","DateFormat=P","Fill=—","Direction=H","UseDPDF=Y")</f>
        <v>—</v>
      </c>
      <c r="S23" s="13" t="str">
        <f>_xll.BDH("XOM US Equity","BS_OTHER_ASSETS_DEF_CHRG_OTHER","FQ3 2002","FQ3 2002","Currency=USD","Period=FQ","BEST_FPERIOD_OVERRIDE=FQ","FILING_STATUS=OR","SCALING_FORMAT=MLN","Sort=A","Dates=H","DateFormat=P","Fill=—","Direction=H","UseDPDF=Y")</f>
        <v>—</v>
      </c>
      <c r="T23" s="13">
        <f>_xll.BDH("XOM US Equity","BS_OTHER_ASSETS_DEF_CHRG_OTHER","FQ4 2002","FQ4 2002","Currency=USD","Period=FQ","BEST_FPERIOD_OVERRIDE=FQ","FILING_STATUS=OR","SCALING_FORMAT=MLN","Sort=A","Dates=H","DateFormat=P","Fill=—","Direction=H","UseDPDF=Y")</f>
        <v>18249</v>
      </c>
      <c r="U23" s="13" t="str">
        <f>_xll.BDH("XOM US Equity","BS_OTHER_ASSETS_DEF_CHRG_OTHER","FQ1 2003","FQ1 2003","Currency=USD","Period=FQ","BEST_FPERIOD_OVERRIDE=FQ","FILING_STATUS=OR","SCALING_FORMAT=MLN","Sort=A","Dates=H","DateFormat=P","Fill=—","Direction=H","UseDPDF=Y")</f>
        <v>—</v>
      </c>
      <c r="V23" s="13" t="str">
        <f>_xll.BDH("XOM US Equity","BS_OTHER_ASSETS_DEF_CHRG_OTHER","FQ2 2003","FQ2 2003","Currency=USD","Period=FQ","BEST_FPERIOD_OVERRIDE=FQ","FILING_STATUS=OR","SCALING_FORMAT=MLN","Sort=A","Dates=H","DateFormat=P","Fill=—","Direction=H","UseDPDF=Y")</f>
        <v>—</v>
      </c>
      <c r="W23" s="13" t="str">
        <f>_xll.BDH("XOM US Equity","BS_OTHER_ASSETS_DEF_CHRG_OTHER","FQ3 2003","FQ3 2003","Currency=USD","Period=FQ","BEST_FPERIOD_OVERRIDE=FQ","FILING_STATUS=OR","SCALING_FORMAT=MLN","Sort=A","Dates=H","DateFormat=P","Fill=—","Direction=H","UseDPDF=Y")</f>
        <v>—</v>
      </c>
      <c r="X23" s="13">
        <f>_xll.BDH("XOM US Equity","BS_OTHER_ASSETS_DEF_CHRG_OTHER","FQ4 2003","FQ4 2003","Currency=USD","Period=FQ","BEST_FPERIOD_OVERRIDE=FQ","FILING_STATUS=OR","SCALING_FORMAT=MLN","Sort=A","Dates=H","DateFormat=P","Fill=—","Direction=H","UseDPDF=Y")</f>
        <v>22249</v>
      </c>
      <c r="Y23" s="13" t="str">
        <f>_xll.BDH("XOM US Equity","BS_OTHER_ASSETS_DEF_CHRG_OTHER","FQ1 2004","FQ1 2004","Currency=USD","Period=FQ","BEST_FPERIOD_OVERRIDE=FQ","FILING_STATUS=OR","SCALING_FORMAT=MLN","Sort=A","Dates=H","DateFormat=P","Fill=—","Direction=H","UseDPDF=Y")</f>
        <v>—</v>
      </c>
      <c r="Z23" s="13" t="str">
        <f>_xll.BDH("XOM US Equity","BS_OTHER_ASSETS_DEF_CHRG_OTHER","FQ2 2004","FQ2 2004","Currency=USD","Period=FQ","BEST_FPERIOD_OVERRIDE=FQ","FILING_STATUS=OR","SCALING_FORMAT=MLN","Sort=A","Dates=H","DateFormat=P","Fill=—","Direction=H","UseDPDF=Y")</f>
        <v>—</v>
      </c>
      <c r="AA23" s="13" t="str">
        <f>_xll.BDH("XOM US Equity","BS_OTHER_ASSETS_DEF_CHRG_OTHER","FQ3 2004","FQ3 2004","Currency=USD","Period=FQ","BEST_FPERIOD_OVERRIDE=FQ","FILING_STATUS=OR","SCALING_FORMAT=MLN","Sort=A","Dates=H","DateFormat=P","Fill=—","Direction=H","UseDPDF=Y")</f>
        <v>—</v>
      </c>
      <c r="AB23" s="13">
        <f>_xll.BDH("XOM US Equity","BS_OTHER_ASSETS_DEF_CHRG_OTHER","FQ4 2004","FQ4 2004","Currency=USD","Period=FQ","BEST_FPERIOD_OVERRIDE=FQ","FILING_STATUS=OR","SCALING_FORMAT=MLN","Sort=A","Dates=H","DateFormat=P","Fill=—","Direction=H","UseDPDF=Y")</f>
        <v>23377</v>
      </c>
      <c r="AC23" s="13">
        <f>_xll.BDH("XOM US Equity","BS_OTHER_ASSETS_DEF_CHRG_OTHER","FQ1 2005","FQ1 2005","Currency=USD","Period=FQ","BEST_FPERIOD_OVERRIDE=FQ","FILING_STATUS=OR","SCALING_FORMAT=MLN","Sort=A","Dates=H","DateFormat=P","Fill=—","Direction=H","UseDPDF=Y")</f>
        <v>25247</v>
      </c>
      <c r="AD23" s="13">
        <f>_xll.BDH("XOM US Equity","BS_OTHER_ASSETS_DEF_CHRG_OTHER","FQ2 2005","FQ2 2005","Currency=USD","Period=FQ","BEST_FPERIOD_OVERRIDE=FQ","FILING_STATUS=OR","SCALING_FORMAT=MLN","Sort=A","Dates=H","DateFormat=P","Fill=—","Direction=H","UseDPDF=Y")</f>
        <v>25971</v>
      </c>
      <c r="AE23" s="13" t="str">
        <f>_xll.BDH("XOM US Equity","BS_OTHER_ASSETS_DEF_CHRG_OTHER","FQ3 2005","FQ3 2005","Currency=USD","Period=FQ","BEST_FPERIOD_OVERRIDE=FQ","FILING_STATUS=OR","SCALING_FORMAT=MLN","Sort=A","Dates=H","DateFormat=P","Fill=—","Direction=H","UseDPDF=Y")</f>
        <v>—</v>
      </c>
      <c r="AF23" s="13">
        <f>_xll.BDH("XOM US Equity","BS_OTHER_ASSETS_DEF_CHRG_OTHER","FQ4 2005","FQ4 2005","Currency=USD","Period=FQ","BEST_FPERIOD_OVERRIDE=FQ","FILING_STATUS=OR","SCALING_FORMAT=MLN","Sort=A","Dates=H","DateFormat=P","Fill=—","Direction=H","UseDPDF=Y")</f>
        <v>25087</v>
      </c>
      <c r="AG23" s="13" t="str">
        <f>_xll.BDH("XOM US Equity","BS_OTHER_ASSETS_DEF_CHRG_OTHER","FQ1 2006","FQ1 2006","Currency=USD","Period=FQ","BEST_FPERIOD_OVERRIDE=FQ","FILING_STATUS=OR","SCALING_FORMAT=MLN","Sort=A","Dates=H","DateFormat=P","Fill=—","Direction=H","UseDPDF=Y")</f>
        <v>—</v>
      </c>
      <c r="AH23" s="13" t="str">
        <f>_xll.BDH("XOM US Equity","BS_OTHER_ASSETS_DEF_CHRG_OTHER","FQ2 2006","FQ2 2006","Currency=USD","Period=FQ","BEST_FPERIOD_OVERRIDE=FQ","FILING_STATUS=OR","SCALING_FORMAT=MLN","Sort=A","Dates=H","DateFormat=P","Fill=—","Direction=H","UseDPDF=Y")</f>
        <v>—</v>
      </c>
      <c r="AI23" s="13" t="str">
        <f>_xll.BDH("XOM US Equity","BS_OTHER_ASSETS_DEF_CHRG_OTHER","FQ3 2006","FQ3 2006","Currency=USD","Period=FQ","BEST_FPERIOD_OVERRIDE=FQ","FILING_STATUS=OR","SCALING_FORMAT=MLN","Sort=A","Dates=H","DateFormat=P","Fill=—","Direction=H","UseDPDF=Y")</f>
        <v>—</v>
      </c>
      <c r="AJ23" s="13">
        <f>_xll.BDH("XOM US Equity","BS_OTHER_ASSETS_DEF_CHRG_OTHER","FQ4 2006","FQ4 2006","Currency=USD","Period=FQ","BEST_FPERIOD_OVERRIDE=FQ","FILING_STATUS=OR","SCALING_FORMAT=MLN","Sort=A","Dates=H","DateFormat=P","Fill=—","Direction=H","UseDPDF=Y")</f>
        <v>6314</v>
      </c>
      <c r="AK23" s="13" t="str">
        <f>_xll.BDH("XOM US Equity","BS_OTHER_ASSETS_DEF_CHRG_OTHER","FQ1 2007","FQ1 2007","Currency=USD","Period=FQ","BEST_FPERIOD_OVERRIDE=FQ","FILING_STATUS=OR","SCALING_FORMAT=MLN","Sort=A","Dates=H","DateFormat=P","Fill=—","Direction=H","UseDPDF=Y")</f>
        <v>—</v>
      </c>
      <c r="AL23" s="13">
        <f>_xll.BDH("XOM US Equity","BS_OTHER_ASSETS_DEF_CHRG_OTHER","FQ2 2007","FQ2 2007","Currency=USD","Period=FQ","BEST_FPERIOD_OVERRIDE=FQ","FILING_STATUS=OR","SCALING_FORMAT=MLN","Sort=A","Dates=H","DateFormat=P","Fill=—","Direction=H","UseDPDF=Y")</f>
        <v>31537</v>
      </c>
      <c r="AM23" s="13">
        <f>_xll.BDH("XOM US Equity","BS_OTHER_ASSETS_DEF_CHRG_OTHER","FQ3 2007","FQ3 2007","Currency=USD","Period=FQ","BEST_FPERIOD_OVERRIDE=FQ","FILING_STATUS=OR","SCALING_FORMAT=MLN","Sort=A","Dates=H","DateFormat=P","Fill=—","Direction=H","UseDPDF=Y")</f>
        <v>32312</v>
      </c>
      <c r="AN23" s="13">
        <f>_xll.BDH("XOM US Equity","BS_OTHER_ASSETS_DEF_CHRG_OTHER","FQ4 2007","FQ4 2007","Currency=USD","Period=FQ","BEST_FPERIOD_OVERRIDE=FQ","FILING_STATUS=OR","SCALING_FORMAT=MLN","Sort=A","Dates=H","DateFormat=P","Fill=—","Direction=H","UseDPDF=Y")</f>
        <v>7056</v>
      </c>
      <c r="AO23" s="13" t="str">
        <f>_xll.BDH("XOM US Equity","BS_OTHER_ASSETS_DEF_CHRG_OTHER","FQ1 2008","FQ1 2008","Currency=USD","Period=FQ","BEST_FPERIOD_OVERRIDE=FQ","FILING_STATUS=OR","SCALING_FORMAT=MLN","Sort=A","Dates=H","DateFormat=P","Fill=—","Direction=H","UseDPDF=Y")</f>
        <v>—</v>
      </c>
      <c r="AP23" s="13" t="str">
        <f>_xll.BDH("XOM US Equity","BS_OTHER_ASSETS_DEF_CHRG_OTHER","FQ2 2008","FQ2 2008","Currency=USD","Period=FQ","BEST_FPERIOD_OVERRIDE=FQ","FILING_STATUS=OR","SCALING_FORMAT=MLN","Sort=A","Dates=H","DateFormat=P","Fill=—","Direction=H","UseDPDF=Y")</f>
        <v>—</v>
      </c>
    </row>
    <row r="24" spans="1:42" x14ac:dyDescent="0.25">
      <c r="A24" s="10" t="s">
        <v>211</v>
      </c>
      <c r="B24" s="10" t="s">
        <v>212</v>
      </c>
      <c r="C24" s="13" t="str">
        <f>_xll.BDH("XOM US Equity","BS_DISCLOSED_INTANGIBLES","FQ3 1998","FQ3 1998","Currency=USD","Period=FQ","BEST_FPERIOD_OVERRIDE=FQ","FILING_STATUS=OR","SCALING_FORMAT=MLN","Sort=A","Dates=H","DateFormat=P","Fill=—","Direction=H","UseDPDF=Y")</f>
        <v>—</v>
      </c>
      <c r="D24" s="13" t="str">
        <f>_xll.BDH("XOM US Equity","BS_DISCLOSED_INTANGIBLES","FQ4 1998","FQ4 1998","Currency=USD","Period=FQ","BEST_FPERIOD_OVERRIDE=FQ","FILING_STATUS=OR","SCALING_FORMAT=MLN","Sort=A","Dates=H","DateFormat=P","Fill=—","Direction=H","UseDPDF=Y")</f>
        <v>—</v>
      </c>
      <c r="E24" s="13">
        <f>_xll.BDH("XOM US Equity","BS_DISCLOSED_INTANGIBLES","FQ1 1999","FQ1 1999","Currency=USD","Period=FQ","BEST_FPERIOD_OVERRIDE=FQ","FILING_STATUS=OR","SCALING_FORMAT=MLN","Sort=A","Dates=H","DateFormat=P","Fill=—","Direction=H","UseDPDF=Y")</f>
        <v>0</v>
      </c>
      <c r="F24" s="13">
        <f>_xll.BDH("XOM US Equity","BS_DISCLOSED_INTANGIBLES","FQ2 1999","FQ2 1999","Currency=USD","Period=FQ","BEST_FPERIOD_OVERRIDE=FQ","FILING_STATUS=OR","SCALING_FORMAT=MLN","Sort=A","Dates=H","DateFormat=P","Fill=—","Direction=H","UseDPDF=Y")</f>
        <v>0</v>
      </c>
      <c r="G24" s="13">
        <f>_xll.BDH("XOM US Equity","BS_DISCLOSED_INTANGIBLES","FQ3 1999","FQ3 1999","Currency=USD","Period=FQ","BEST_FPERIOD_OVERRIDE=FQ","FILING_STATUS=OR","SCALING_FORMAT=MLN","Sort=A","Dates=H","DateFormat=P","Fill=—","Direction=H","UseDPDF=Y")</f>
        <v>0</v>
      </c>
      <c r="H24" s="13" t="str">
        <f>_xll.BDH("XOM US Equity","BS_DISCLOSED_INTANGIBLES","FQ4 1999","FQ4 1999","Currency=USD","Period=FQ","BEST_FPERIOD_OVERRIDE=FQ","FILING_STATUS=OR","SCALING_FORMAT=MLN","Sort=A","Dates=H","DateFormat=P","Fill=—","Direction=H","UseDPDF=Y")</f>
        <v>—</v>
      </c>
      <c r="I24" s="13">
        <f>_xll.BDH("XOM US Equity","BS_DISCLOSED_INTANGIBLES","FQ1 2000","FQ1 2000","Currency=USD","Period=FQ","BEST_FPERIOD_OVERRIDE=FQ","FILING_STATUS=OR","SCALING_FORMAT=MLN","Sort=A","Dates=H","DateFormat=P","Fill=—","Direction=H","UseDPDF=Y")</f>
        <v>0</v>
      </c>
      <c r="J24" s="13">
        <f>_xll.BDH("XOM US Equity","BS_DISCLOSED_INTANGIBLES","FQ2 2000","FQ2 2000","Currency=USD","Period=FQ","BEST_FPERIOD_OVERRIDE=FQ","FILING_STATUS=OR","SCALING_FORMAT=MLN","Sort=A","Dates=H","DateFormat=P","Fill=—","Direction=H","UseDPDF=Y")</f>
        <v>0</v>
      </c>
      <c r="K24" s="13">
        <f>_xll.BDH("XOM US Equity","BS_DISCLOSED_INTANGIBLES","FQ3 2000","FQ3 2000","Currency=USD","Period=FQ","BEST_FPERIOD_OVERRIDE=FQ","FILING_STATUS=OR","SCALING_FORMAT=MLN","Sort=A","Dates=H","DateFormat=P","Fill=—","Direction=H","UseDPDF=Y")</f>
        <v>0</v>
      </c>
      <c r="L24" s="13">
        <f>_xll.BDH("XOM US Equity","BS_DISCLOSED_INTANGIBLES","FQ4 2000","FQ4 2000","Currency=USD","Period=FQ","BEST_FPERIOD_OVERRIDE=FQ","FILING_STATUS=OR","SCALING_FORMAT=MLN","Sort=A","Dates=H","DateFormat=P","Fill=—","Direction=H","UseDPDF=Y")</f>
        <v>0</v>
      </c>
      <c r="M24" s="13" t="str">
        <f>_xll.BDH("XOM US Equity","BS_DISCLOSED_INTANGIBLES","FQ1 2001","FQ1 2001","Currency=USD","Period=FQ","BEST_FPERIOD_OVERRIDE=FQ","FILING_STATUS=OR","SCALING_FORMAT=MLN","Sort=A","Dates=H","DateFormat=P","Fill=—","Direction=H","UseDPDF=Y")</f>
        <v>—</v>
      </c>
      <c r="N24" s="13">
        <f>_xll.BDH("XOM US Equity","BS_DISCLOSED_INTANGIBLES","FQ2 2001","FQ2 2001","Currency=USD","Period=FQ","BEST_FPERIOD_OVERRIDE=FQ","FILING_STATUS=OR","SCALING_FORMAT=MLN","Sort=A","Dates=H","DateFormat=P","Fill=—","Direction=H","UseDPDF=Y")</f>
        <v>0</v>
      </c>
      <c r="O24" s="13">
        <f>_xll.BDH("XOM US Equity","BS_DISCLOSED_INTANGIBLES","FQ3 2001","FQ3 2001","Currency=USD","Period=FQ","BEST_FPERIOD_OVERRIDE=FQ","FILING_STATUS=OR","SCALING_FORMAT=MLN","Sort=A","Dates=H","DateFormat=P","Fill=—","Direction=H","UseDPDF=Y")</f>
        <v>0</v>
      </c>
      <c r="P24" s="13">
        <f>_xll.BDH("XOM US Equity","BS_DISCLOSED_INTANGIBLES","FQ4 2001","FQ4 2001","Currency=USD","Period=FQ","BEST_FPERIOD_OVERRIDE=FQ","FILING_STATUS=OR","SCALING_FORMAT=MLN","Sort=A","Dates=H","DateFormat=P","Fill=—","Direction=H","UseDPDF=Y")</f>
        <v>0</v>
      </c>
      <c r="Q24" s="13">
        <f>_xll.BDH("XOM US Equity","BS_DISCLOSED_INTANGIBLES","FQ1 2002","FQ1 2002","Currency=USD","Period=FQ","BEST_FPERIOD_OVERRIDE=FQ","FILING_STATUS=OR","SCALING_FORMAT=MLN","Sort=A","Dates=H","DateFormat=P","Fill=—","Direction=H","UseDPDF=Y")</f>
        <v>0</v>
      </c>
      <c r="R24" s="13">
        <f>_xll.BDH("XOM US Equity","BS_DISCLOSED_INTANGIBLES","FQ2 2002","FQ2 2002","Currency=USD","Period=FQ","BEST_FPERIOD_OVERRIDE=FQ","FILING_STATUS=OR","SCALING_FORMAT=MLN","Sort=A","Dates=H","DateFormat=P","Fill=—","Direction=H","UseDPDF=Y")</f>
        <v>0</v>
      </c>
      <c r="S24" s="13">
        <f>_xll.BDH("XOM US Equity","BS_DISCLOSED_INTANGIBLES","FQ3 2002","FQ3 2002","Currency=USD","Period=FQ","BEST_FPERIOD_OVERRIDE=FQ","FILING_STATUS=OR","SCALING_FORMAT=MLN","Sort=A","Dates=H","DateFormat=P","Fill=—","Direction=H","UseDPDF=Y")</f>
        <v>0</v>
      </c>
      <c r="T24" s="13">
        <f>_xll.BDH("XOM US Equity","BS_DISCLOSED_INTANGIBLES","FQ4 2002","FQ4 2002","Currency=USD","Period=FQ","BEST_FPERIOD_OVERRIDE=FQ","FILING_STATUS=OR","SCALING_FORMAT=MLN","Sort=A","Dates=H","DateFormat=P","Fill=—","Direction=H","UseDPDF=Y")</f>
        <v>0</v>
      </c>
      <c r="U24" s="13">
        <f>_xll.BDH("XOM US Equity","BS_DISCLOSED_INTANGIBLES","FQ1 2003","FQ1 2003","Currency=USD","Period=FQ","BEST_FPERIOD_OVERRIDE=FQ","FILING_STATUS=OR","SCALING_FORMAT=MLN","Sort=A","Dates=H","DateFormat=P","Fill=—","Direction=H","UseDPDF=Y")</f>
        <v>0</v>
      </c>
      <c r="V24" s="13">
        <f>_xll.BDH("XOM US Equity","BS_DISCLOSED_INTANGIBLES","FQ2 2003","FQ2 2003","Currency=USD","Period=FQ","BEST_FPERIOD_OVERRIDE=FQ","FILING_STATUS=OR","SCALING_FORMAT=MLN","Sort=A","Dates=H","DateFormat=P","Fill=—","Direction=H","UseDPDF=Y")</f>
        <v>0</v>
      </c>
      <c r="W24" s="13">
        <f>_xll.BDH("XOM US Equity","BS_DISCLOSED_INTANGIBLES","FQ3 2003","FQ3 2003","Currency=USD","Period=FQ","BEST_FPERIOD_OVERRIDE=FQ","FILING_STATUS=OR","SCALING_FORMAT=MLN","Sort=A","Dates=H","DateFormat=P","Fill=—","Direction=H","UseDPDF=Y")</f>
        <v>0</v>
      </c>
      <c r="X24" s="13">
        <f>_xll.BDH("XOM US Equity","BS_DISCLOSED_INTANGIBLES","FQ4 2003","FQ4 2003","Currency=USD","Period=FQ","BEST_FPERIOD_OVERRIDE=FQ","FILING_STATUS=OR","SCALING_FORMAT=MLN","Sort=A","Dates=H","DateFormat=P","Fill=—","Direction=H","UseDPDF=Y")</f>
        <v>0</v>
      </c>
      <c r="Y24" s="13">
        <f>_xll.BDH("XOM US Equity","BS_DISCLOSED_INTANGIBLES","FQ1 2004","FQ1 2004","Currency=USD","Period=FQ","BEST_FPERIOD_OVERRIDE=FQ","FILING_STATUS=OR","SCALING_FORMAT=MLN","Sort=A","Dates=H","DateFormat=P","Fill=—","Direction=H","UseDPDF=Y")</f>
        <v>0</v>
      </c>
      <c r="Z24" s="13">
        <f>_xll.BDH("XOM US Equity","BS_DISCLOSED_INTANGIBLES","FQ2 2004","FQ2 2004","Currency=USD","Period=FQ","BEST_FPERIOD_OVERRIDE=FQ","FILING_STATUS=OR","SCALING_FORMAT=MLN","Sort=A","Dates=H","DateFormat=P","Fill=—","Direction=H","UseDPDF=Y")</f>
        <v>0</v>
      </c>
      <c r="AA24" s="13">
        <f>_xll.BDH("XOM US Equity","BS_DISCLOSED_INTANGIBLES","FQ3 2004","FQ3 2004","Currency=USD","Period=FQ","BEST_FPERIOD_OVERRIDE=FQ","FILING_STATUS=OR","SCALING_FORMAT=MLN","Sort=A","Dates=H","DateFormat=P","Fill=—","Direction=H","UseDPDF=Y")</f>
        <v>0</v>
      </c>
      <c r="AB24" s="13">
        <f>_xll.BDH("XOM US Equity","BS_DISCLOSED_INTANGIBLES","FQ4 2004","FQ4 2004","Currency=USD","Period=FQ","BEST_FPERIOD_OVERRIDE=FQ","FILING_STATUS=OR","SCALING_FORMAT=MLN","Sort=A","Dates=H","DateFormat=P","Fill=—","Direction=H","UseDPDF=Y")</f>
        <v>0</v>
      </c>
      <c r="AC24" s="13">
        <f>_xll.BDH("XOM US Equity","BS_DISCLOSED_INTANGIBLES","FQ1 2005","FQ1 2005","Currency=USD","Period=FQ","BEST_FPERIOD_OVERRIDE=FQ","FILING_STATUS=OR","SCALING_FORMAT=MLN","Sort=A","Dates=H","DateFormat=P","Fill=—","Direction=H","UseDPDF=Y")</f>
        <v>0</v>
      </c>
      <c r="AD24" s="13">
        <f>_xll.BDH("XOM US Equity","BS_DISCLOSED_INTANGIBLES","FQ2 2005","FQ2 2005","Currency=USD","Period=FQ","BEST_FPERIOD_OVERRIDE=FQ","FILING_STATUS=OR","SCALING_FORMAT=MLN","Sort=A","Dates=H","DateFormat=P","Fill=—","Direction=H","UseDPDF=Y")</f>
        <v>0</v>
      </c>
      <c r="AE24" s="13">
        <f>_xll.BDH("XOM US Equity","BS_DISCLOSED_INTANGIBLES","FQ3 2005","FQ3 2005","Currency=USD","Period=FQ","BEST_FPERIOD_OVERRIDE=FQ","FILING_STATUS=OR","SCALING_FORMAT=MLN","Sort=A","Dates=H","DateFormat=P","Fill=—","Direction=H","UseDPDF=Y")</f>
        <v>0</v>
      </c>
      <c r="AF24" s="13">
        <f>_xll.BDH("XOM US Equity","BS_DISCLOSED_INTANGIBLES","FQ4 2005","FQ4 2005","Currency=USD","Period=FQ","BEST_FPERIOD_OVERRIDE=FQ","FILING_STATUS=OR","SCALING_FORMAT=MLN","Sort=A","Dates=H","DateFormat=P","Fill=—","Direction=H","UseDPDF=Y")</f>
        <v>0</v>
      </c>
      <c r="AG24" s="13">
        <f>_xll.BDH("XOM US Equity","BS_DISCLOSED_INTANGIBLES","FQ1 2006","FQ1 2006","Currency=USD","Period=FQ","BEST_FPERIOD_OVERRIDE=FQ","FILING_STATUS=OR","SCALING_FORMAT=MLN","Sort=A","Dates=H","DateFormat=P","Fill=—","Direction=H","UseDPDF=Y")</f>
        <v>0</v>
      </c>
      <c r="AH24" s="13">
        <f>_xll.BDH("XOM US Equity","BS_DISCLOSED_INTANGIBLES","FQ2 2006","FQ2 2006","Currency=USD","Period=FQ","BEST_FPERIOD_OVERRIDE=FQ","FILING_STATUS=OR","SCALING_FORMAT=MLN","Sort=A","Dates=H","DateFormat=P","Fill=—","Direction=H","UseDPDF=Y")</f>
        <v>0</v>
      </c>
      <c r="AI24" s="13">
        <f>_xll.BDH("XOM US Equity","BS_DISCLOSED_INTANGIBLES","FQ3 2006","FQ3 2006","Currency=USD","Period=FQ","BEST_FPERIOD_OVERRIDE=FQ","FILING_STATUS=OR","SCALING_FORMAT=MLN","Sort=A","Dates=H","DateFormat=P","Fill=—","Direction=H","UseDPDF=Y")</f>
        <v>0</v>
      </c>
      <c r="AJ24" s="13">
        <f>_xll.BDH("XOM US Equity","BS_DISCLOSED_INTANGIBLES","FQ4 2006","FQ4 2006","Currency=USD","Period=FQ","BEST_FPERIOD_OVERRIDE=FQ","FILING_STATUS=OR","SCALING_FORMAT=MLN","Sort=A","Dates=H","DateFormat=P","Fill=—","Direction=H","UseDPDF=Y")</f>
        <v>0</v>
      </c>
      <c r="AK24" s="13">
        <f>_xll.BDH("XOM US Equity","BS_DISCLOSED_INTANGIBLES","FQ1 2007","FQ1 2007","Currency=USD","Period=FQ","BEST_FPERIOD_OVERRIDE=FQ","FILING_STATUS=OR","SCALING_FORMAT=MLN","Sort=A","Dates=H","DateFormat=P","Fill=—","Direction=H","UseDPDF=Y")</f>
        <v>0</v>
      </c>
      <c r="AL24" s="13">
        <f>_xll.BDH("XOM US Equity","BS_DISCLOSED_INTANGIBLES","FQ2 2007","FQ2 2007","Currency=USD","Period=FQ","BEST_FPERIOD_OVERRIDE=FQ","FILING_STATUS=OR","SCALING_FORMAT=MLN","Sort=A","Dates=H","DateFormat=P","Fill=—","Direction=H","UseDPDF=Y")</f>
        <v>0</v>
      </c>
      <c r="AM24" s="13">
        <f>_xll.BDH("XOM US Equity","BS_DISCLOSED_INTANGIBLES","FQ3 2007","FQ3 2007","Currency=USD","Period=FQ","BEST_FPERIOD_OVERRIDE=FQ","FILING_STATUS=OR","SCALING_FORMAT=MLN","Sort=A","Dates=H","DateFormat=P","Fill=—","Direction=H","UseDPDF=Y")</f>
        <v>0</v>
      </c>
      <c r="AN24" s="13">
        <f>_xll.BDH("XOM US Equity","BS_DISCLOSED_INTANGIBLES","FQ4 2007","FQ4 2007","Currency=USD","Period=FQ","BEST_FPERIOD_OVERRIDE=FQ","FILING_STATUS=OR","SCALING_FORMAT=MLN","Sort=A","Dates=H","DateFormat=P","Fill=—","Direction=H","UseDPDF=Y")</f>
        <v>0</v>
      </c>
      <c r="AO24" s="13">
        <f>_xll.BDH("XOM US Equity","BS_DISCLOSED_INTANGIBLES","FQ1 2008","FQ1 2008","Currency=USD","Period=FQ","BEST_FPERIOD_OVERRIDE=FQ","FILING_STATUS=OR","SCALING_FORMAT=MLN","Sort=A","Dates=H","DateFormat=P","Fill=—","Direction=H","UseDPDF=Y")</f>
        <v>0</v>
      </c>
      <c r="AP24" s="13">
        <f>_xll.BDH("XOM US Equity","BS_DISCLOSED_INTANGIBLES","FQ2 2008","FQ2 2008","Currency=USD","Period=FQ","BEST_FPERIOD_OVERRIDE=FQ","FILING_STATUS=OR","SCALING_FORMAT=MLN","Sort=A","Dates=H","DateFormat=P","Fill=—","Direction=H","UseDPDF=Y")</f>
        <v>0</v>
      </c>
    </row>
    <row r="25" spans="1:42" x14ac:dyDescent="0.25">
      <c r="A25" s="10" t="s">
        <v>213</v>
      </c>
      <c r="B25" s="10" t="s">
        <v>214</v>
      </c>
      <c r="C25" s="13">
        <f>_xll.BDH("XOM US Equity","OTHER_NONCURRENT_ASSETS_DETAILED","FQ3 1998","FQ3 1998","Currency=USD","Period=FQ","BEST_FPERIOD_OVERRIDE=FQ","FILING_STATUS=OR","SCALING_FORMAT=MLN","Sort=A","Dates=H","DateFormat=P","Fill=—","Direction=H","UseDPDF=Y")</f>
        <v>8873</v>
      </c>
      <c r="D25" s="13">
        <f>_xll.BDH("XOM US Equity","OTHER_NONCURRENT_ASSETS_DETAILED","FQ4 1998","FQ4 1998","Currency=USD","Period=FQ","BEST_FPERIOD_OVERRIDE=FQ","FILING_STATUS=OR","SCALING_FORMAT=MLN","Sort=A","Dates=H","DateFormat=P","Fill=—","Direction=H","UseDPDF=Y")</f>
        <v>3404</v>
      </c>
      <c r="E25" s="13">
        <f>_xll.BDH("XOM US Equity","OTHER_NONCURRENT_ASSETS_DETAILED","FQ1 1999","FQ1 1999","Currency=USD","Period=FQ","BEST_FPERIOD_OVERRIDE=FQ","FILING_STATUS=OR","SCALING_FORMAT=MLN","Sort=A","Dates=H","DateFormat=P","Fill=—","Direction=H","UseDPDF=Y")</f>
        <v>0</v>
      </c>
      <c r="F25" s="13">
        <f>_xll.BDH("XOM US Equity","OTHER_NONCURRENT_ASSETS_DETAILED","FQ2 1999","FQ2 1999","Currency=USD","Period=FQ","BEST_FPERIOD_OVERRIDE=FQ","FILING_STATUS=OR","SCALING_FORMAT=MLN","Sort=A","Dates=H","DateFormat=P","Fill=—","Direction=H","UseDPDF=Y")</f>
        <v>0</v>
      </c>
      <c r="G25" s="13">
        <f>_xll.BDH("XOM US Equity","OTHER_NONCURRENT_ASSETS_DETAILED","FQ3 1999","FQ3 1999","Currency=USD","Period=FQ","BEST_FPERIOD_OVERRIDE=FQ","FILING_STATUS=OR","SCALING_FORMAT=MLN","Sort=A","Dates=H","DateFormat=P","Fill=—","Direction=H","UseDPDF=Y")</f>
        <v>0</v>
      </c>
      <c r="H25" s="13">
        <f>_xll.BDH("XOM US Equity","OTHER_NONCURRENT_ASSETS_DETAILED","FQ4 1999","FQ4 1999","Currency=USD","Period=FQ","BEST_FPERIOD_OVERRIDE=FQ","FILING_STATUS=OR","SCALING_FORMAT=MLN","Sort=A","Dates=H","DateFormat=P","Fill=—","Direction=H","UseDPDF=Y")</f>
        <v>4793</v>
      </c>
      <c r="I25" s="13">
        <f>_xll.BDH("XOM US Equity","OTHER_NONCURRENT_ASSETS_DETAILED","FQ1 2000","FQ1 2000","Currency=USD","Period=FQ","BEST_FPERIOD_OVERRIDE=FQ","FILING_STATUS=OR","SCALING_FORMAT=MLN","Sort=A","Dates=H","DateFormat=P","Fill=—","Direction=H","UseDPDF=Y")</f>
        <v>0</v>
      </c>
      <c r="J25" s="13">
        <f>_xll.BDH("XOM US Equity","OTHER_NONCURRENT_ASSETS_DETAILED","FQ2 2000","FQ2 2000","Currency=USD","Period=FQ","BEST_FPERIOD_OVERRIDE=FQ","FILING_STATUS=OR","SCALING_FORMAT=MLN","Sort=A","Dates=H","DateFormat=P","Fill=—","Direction=H","UseDPDF=Y")</f>
        <v>0</v>
      </c>
      <c r="K25" s="13">
        <f>_xll.BDH("XOM US Equity","OTHER_NONCURRENT_ASSETS_DETAILED","FQ3 2000","FQ3 2000","Currency=USD","Period=FQ","BEST_FPERIOD_OVERRIDE=FQ","FILING_STATUS=OR","SCALING_FORMAT=MLN","Sort=A","Dates=H","DateFormat=P","Fill=—","Direction=H","UseDPDF=Y")</f>
        <v>0</v>
      </c>
      <c r="L25" s="13">
        <f>_xll.BDH("XOM US Equity","OTHER_NONCURRENT_ASSETS_DETAILED","FQ4 2000","FQ4 2000","Currency=USD","Period=FQ","BEST_FPERIOD_OVERRIDE=FQ","FILING_STATUS=OR","SCALING_FORMAT=MLN","Sort=A","Dates=H","DateFormat=P","Fill=—","Direction=H","UseDPDF=Y")</f>
        <v>16758</v>
      </c>
      <c r="M25" s="13" t="str">
        <f>_xll.BDH("XOM US Equity","OTHER_NONCURRENT_ASSETS_DETAILED","FQ1 2001","FQ1 2001","Currency=USD","Period=FQ","BEST_FPERIOD_OVERRIDE=FQ","FILING_STATUS=OR","SCALING_FORMAT=MLN","Sort=A","Dates=H","DateFormat=P","Fill=—","Direction=H","UseDPDF=Y")</f>
        <v>—</v>
      </c>
      <c r="N25" s="13">
        <f>_xll.BDH("XOM US Equity","OTHER_NONCURRENT_ASSETS_DETAILED","FQ2 2001","FQ2 2001","Currency=USD","Period=FQ","BEST_FPERIOD_OVERRIDE=FQ","FILING_STATUS=OR","SCALING_FORMAT=MLN","Sort=A","Dates=H","DateFormat=P","Fill=—","Direction=H","UseDPDF=Y")</f>
        <v>0</v>
      </c>
      <c r="O25" s="13">
        <f>_xll.BDH("XOM US Equity","OTHER_NONCURRENT_ASSETS_DETAILED","FQ3 2001","FQ3 2001","Currency=USD","Period=FQ","BEST_FPERIOD_OVERRIDE=FQ","FILING_STATUS=OR","SCALING_FORMAT=MLN","Sort=A","Dates=H","DateFormat=P","Fill=—","Direction=H","UseDPDF=Y")</f>
        <v>0</v>
      </c>
      <c r="P25" s="13">
        <f>_xll.BDH("XOM US Equity","OTHER_NONCURRENT_ASSETS_DETAILED","FQ4 2001","FQ4 2001","Currency=USD","Period=FQ","BEST_FPERIOD_OVERRIDE=FQ","FILING_STATUS=OR","SCALING_FORMAT=MLN","Sort=A","Dates=H","DateFormat=P","Fill=—","Direction=H","UseDPDF=Y")</f>
        <v>16578</v>
      </c>
      <c r="Q25" s="13">
        <f>_xll.BDH("XOM US Equity","OTHER_NONCURRENT_ASSETS_DETAILED","FQ1 2002","FQ1 2002","Currency=USD","Period=FQ","BEST_FPERIOD_OVERRIDE=FQ","FILING_STATUS=OR","SCALING_FORMAT=MLN","Sort=A","Dates=H","DateFormat=P","Fill=—","Direction=H","UseDPDF=Y")</f>
        <v>0</v>
      </c>
      <c r="R25" s="13">
        <f>_xll.BDH("XOM US Equity","OTHER_NONCURRENT_ASSETS_DETAILED","FQ2 2002","FQ2 2002","Currency=USD","Period=FQ","BEST_FPERIOD_OVERRIDE=FQ","FILING_STATUS=OR","SCALING_FORMAT=MLN","Sort=A","Dates=H","DateFormat=P","Fill=—","Direction=H","UseDPDF=Y")</f>
        <v>0</v>
      </c>
      <c r="S25" s="13">
        <f>_xll.BDH("XOM US Equity","OTHER_NONCURRENT_ASSETS_DETAILED","FQ3 2002","FQ3 2002","Currency=USD","Period=FQ","BEST_FPERIOD_OVERRIDE=FQ","FILING_STATUS=OR","SCALING_FORMAT=MLN","Sort=A","Dates=H","DateFormat=P","Fill=—","Direction=H","UseDPDF=Y")</f>
        <v>0</v>
      </c>
      <c r="T25" s="13">
        <f>_xll.BDH("XOM US Equity","OTHER_NONCURRENT_ASSETS_DETAILED","FQ4 2002","FQ4 2002","Currency=USD","Period=FQ","BEST_FPERIOD_OVERRIDE=FQ","FILING_STATUS=OR","SCALING_FORMAT=MLN","Sort=A","Dates=H","DateFormat=P","Fill=—","Direction=H","UseDPDF=Y")</f>
        <v>18249</v>
      </c>
      <c r="U25" s="13">
        <f>_xll.BDH("XOM US Equity","OTHER_NONCURRENT_ASSETS_DETAILED","FQ1 2003","FQ1 2003","Currency=USD","Period=FQ","BEST_FPERIOD_OVERRIDE=FQ","FILING_STATUS=OR","SCALING_FORMAT=MLN","Sort=A","Dates=H","DateFormat=P","Fill=—","Direction=H","UseDPDF=Y")</f>
        <v>0</v>
      </c>
      <c r="V25" s="13">
        <f>_xll.BDH("XOM US Equity","OTHER_NONCURRENT_ASSETS_DETAILED","FQ2 2003","FQ2 2003","Currency=USD","Period=FQ","BEST_FPERIOD_OVERRIDE=FQ","FILING_STATUS=OR","SCALING_FORMAT=MLN","Sort=A","Dates=H","DateFormat=P","Fill=—","Direction=H","UseDPDF=Y")</f>
        <v>0</v>
      </c>
      <c r="W25" s="13">
        <f>_xll.BDH("XOM US Equity","OTHER_NONCURRENT_ASSETS_DETAILED","FQ3 2003","FQ3 2003","Currency=USD","Period=FQ","BEST_FPERIOD_OVERRIDE=FQ","FILING_STATUS=OR","SCALING_FORMAT=MLN","Sort=A","Dates=H","DateFormat=P","Fill=—","Direction=H","UseDPDF=Y")</f>
        <v>0</v>
      </c>
      <c r="X25" s="13">
        <f>_xll.BDH("XOM US Equity","OTHER_NONCURRENT_ASSETS_DETAILED","FQ4 2003","FQ4 2003","Currency=USD","Period=FQ","BEST_FPERIOD_OVERRIDE=FQ","FILING_STATUS=OR","SCALING_FORMAT=MLN","Sort=A","Dates=H","DateFormat=P","Fill=—","Direction=H","UseDPDF=Y")</f>
        <v>22249</v>
      </c>
      <c r="Y25" s="13">
        <f>_xll.BDH("XOM US Equity","OTHER_NONCURRENT_ASSETS_DETAILED","FQ1 2004","FQ1 2004","Currency=USD","Period=FQ","BEST_FPERIOD_OVERRIDE=FQ","FILING_STATUS=OR","SCALING_FORMAT=MLN","Sort=A","Dates=H","DateFormat=P","Fill=—","Direction=H","UseDPDF=Y")</f>
        <v>0</v>
      </c>
      <c r="Z25" s="13">
        <f>_xll.BDH("XOM US Equity","OTHER_NONCURRENT_ASSETS_DETAILED","FQ2 2004","FQ2 2004","Currency=USD","Period=FQ","BEST_FPERIOD_OVERRIDE=FQ","FILING_STATUS=OR","SCALING_FORMAT=MLN","Sort=A","Dates=H","DateFormat=P","Fill=—","Direction=H","UseDPDF=Y")</f>
        <v>0</v>
      </c>
      <c r="AA25" s="13">
        <f>_xll.BDH("XOM US Equity","OTHER_NONCURRENT_ASSETS_DETAILED","FQ3 2004","FQ3 2004","Currency=USD","Period=FQ","BEST_FPERIOD_OVERRIDE=FQ","FILING_STATUS=OR","SCALING_FORMAT=MLN","Sort=A","Dates=H","DateFormat=P","Fill=—","Direction=H","UseDPDF=Y")</f>
        <v>0</v>
      </c>
      <c r="AB25" s="13">
        <f>_xll.BDH("XOM US Equity","OTHER_NONCURRENT_ASSETS_DETAILED","FQ4 2004","FQ4 2004","Currency=USD","Period=FQ","BEST_FPERIOD_OVERRIDE=FQ","FILING_STATUS=OR","SCALING_FORMAT=MLN","Sort=A","Dates=H","DateFormat=P","Fill=—","Direction=H","UseDPDF=Y")</f>
        <v>23377</v>
      </c>
      <c r="AC25" s="13">
        <f>_xll.BDH("XOM US Equity","OTHER_NONCURRENT_ASSETS_DETAILED","FQ1 2005","FQ1 2005","Currency=USD","Period=FQ","BEST_FPERIOD_OVERRIDE=FQ","FILING_STATUS=OR","SCALING_FORMAT=MLN","Sort=A","Dates=H","DateFormat=P","Fill=—","Direction=H","UseDPDF=Y")</f>
        <v>25247</v>
      </c>
      <c r="AD25" s="13">
        <f>_xll.BDH("XOM US Equity","OTHER_NONCURRENT_ASSETS_DETAILED","FQ2 2005","FQ2 2005","Currency=USD","Period=FQ","BEST_FPERIOD_OVERRIDE=FQ","FILING_STATUS=OR","SCALING_FORMAT=MLN","Sort=A","Dates=H","DateFormat=P","Fill=—","Direction=H","UseDPDF=Y")</f>
        <v>25971</v>
      </c>
      <c r="AE25" s="13">
        <f>_xll.BDH("XOM US Equity","OTHER_NONCURRENT_ASSETS_DETAILED","FQ3 2005","FQ3 2005","Currency=USD","Period=FQ","BEST_FPERIOD_OVERRIDE=FQ","FILING_STATUS=OR","SCALING_FORMAT=MLN","Sort=A","Dates=H","DateFormat=P","Fill=—","Direction=H","UseDPDF=Y")</f>
        <v>0</v>
      </c>
      <c r="AF25" s="13">
        <f>_xll.BDH("XOM US Equity","OTHER_NONCURRENT_ASSETS_DETAILED","FQ4 2005","FQ4 2005","Currency=USD","Period=FQ","BEST_FPERIOD_OVERRIDE=FQ","FILING_STATUS=OR","SCALING_FORMAT=MLN","Sort=A","Dates=H","DateFormat=P","Fill=—","Direction=H","UseDPDF=Y")</f>
        <v>25087</v>
      </c>
      <c r="AG25" s="13">
        <f>_xll.BDH("XOM US Equity","OTHER_NONCURRENT_ASSETS_DETAILED","FQ1 2006","FQ1 2006","Currency=USD","Period=FQ","BEST_FPERIOD_OVERRIDE=FQ","FILING_STATUS=OR","SCALING_FORMAT=MLN","Sort=A","Dates=H","DateFormat=P","Fill=—","Direction=H","UseDPDF=Y")</f>
        <v>0</v>
      </c>
      <c r="AH25" s="13">
        <f>_xll.BDH("XOM US Equity","OTHER_NONCURRENT_ASSETS_DETAILED","FQ2 2006","FQ2 2006","Currency=USD","Period=FQ","BEST_FPERIOD_OVERRIDE=FQ","FILING_STATUS=OR","SCALING_FORMAT=MLN","Sort=A","Dates=H","DateFormat=P","Fill=—","Direction=H","UseDPDF=Y")</f>
        <v>0</v>
      </c>
      <c r="AI25" s="13">
        <f>_xll.BDH("XOM US Equity","OTHER_NONCURRENT_ASSETS_DETAILED","FQ3 2006","FQ3 2006","Currency=USD","Period=FQ","BEST_FPERIOD_OVERRIDE=FQ","FILING_STATUS=OR","SCALING_FORMAT=MLN","Sort=A","Dates=H","DateFormat=P","Fill=—","Direction=H","UseDPDF=Y")</f>
        <v>0</v>
      </c>
      <c r="AJ25" s="13">
        <f>_xll.BDH("XOM US Equity","OTHER_NONCURRENT_ASSETS_DETAILED","FQ4 2006","FQ4 2006","Currency=USD","Period=FQ","BEST_FPERIOD_OVERRIDE=FQ","FILING_STATUS=OR","SCALING_FORMAT=MLN","Sort=A","Dates=H","DateFormat=P","Fill=—","Direction=H","UseDPDF=Y")</f>
        <v>6314</v>
      </c>
      <c r="AK25" s="13">
        <f>_xll.BDH("XOM US Equity","OTHER_NONCURRENT_ASSETS_DETAILED","FQ1 2007","FQ1 2007","Currency=USD","Period=FQ","BEST_FPERIOD_OVERRIDE=FQ","FILING_STATUS=OR","SCALING_FORMAT=MLN","Sort=A","Dates=H","DateFormat=P","Fill=—","Direction=H","UseDPDF=Y")</f>
        <v>0</v>
      </c>
      <c r="AL25" s="13">
        <f>_xll.BDH("XOM US Equity","OTHER_NONCURRENT_ASSETS_DETAILED","FQ2 2007","FQ2 2007","Currency=USD","Period=FQ","BEST_FPERIOD_OVERRIDE=FQ","FILING_STATUS=OR","SCALING_FORMAT=MLN","Sort=A","Dates=H","DateFormat=P","Fill=—","Direction=H","UseDPDF=Y")</f>
        <v>31537</v>
      </c>
      <c r="AM25" s="13">
        <f>_xll.BDH("XOM US Equity","OTHER_NONCURRENT_ASSETS_DETAILED","FQ3 2007","FQ3 2007","Currency=USD","Period=FQ","BEST_FPERIOD_OVERRIDE=FQ","FILING_STATUS=OR","SCALING_FORMAT=MLN","Sort=A","Dates=H","DateFormat=P","Fill=—","Direction=H","UseDPDF=Y")</f>
        <v>32312</v>
      </c>
      <c r="AN25" s="13">
        <f>_xll.BDH("XOM US Equity","OTHER_NONCURRENT_ASSETS_DETAILED","FQ4 2007","FQ4 2007","Currency=USD","Period=FQ","BEST_FPERIOD_OVERRIDE=FQ","FILING_STATUS=OR","SCALING_FORMAT=MLN","Sort=A","Dates=H","DateFormat=P","Fill=—","Direction=H","UseDPDF=Y")</f>
        <v>7056</v>
      </c>
      <c r="AO25" s="13">
        <f>_xll.BDH("XOM US Equity","OTHER_NONCURRENT_ASSETS_DETAILED","FQ1 2008","FQ1 2008","Currency=USD","Period=FQ","BEST_FPERIOD_OVERRIDE=FQ","FILING_STATUS=OR","SCALING_FORMAT=MLN","Sort=A","Dates=H","DateFormat=P","Fill=—","Direction=H","UseDPDF=Y")</f>
        <v>0</v>
      </c>
      <c r="AP25" s="13">
        <f>_xll.BDH("XOM US Equity","OTHER_NONCURRENT_ASSETS_DETAILED","FQ2 2008","FQ2 2008","Currency=USD","Period=FQ","BEST_FPERIOD_OVERRIDE=FQ","FILING_STATUS=OR","SCALING_FORMAT=MLN","Sort=A","Dates=H","DateFormat=P","Fill=—","Direction=H","UseDPDF=Y")</f>
        <v>0</v>
      </c>
    </row>
    <row r="26" spans="1:42" x14ac:dyDescent="0.25">
      <c r="A26" s="6" t="s">
        <v>215</v>
      </c>
      <c r="B26" s="6" t="s">
        <v>216</v>
      </c>
      <c r="C26" s="16">
        <f>_xll.BDH("XOM US Equity","BS_TOT_NON_CUR_ASSET","FQ3 1998","FQ3 1998","Currency=USD","Period=FQ","BEST_FPERIOD_OVERRIDE=FQ","FILING_STATUS=OR","SCALING_FORMAT=MLN","Sort=A","Dates=H","DateFormat=P","Fill=—","Direction=H","UseDPDF=Y")</f>
        <v>77150</v>
      </c>
      <c r="D26" s="16">
        <f>_xll.BDH("XOM US Equity","BS_TOT_NON_CUR_ASSET","FQ4 1998","FQ4 1998","Currency=USD","Period=FQ","BEST_FPERIOD_OVERRIDE=FQ","FILING_STATUS=OR","SCALING_FORMAT=MLN","Sort=A","Dates=H","DateFormat=P","Fill=—","Direction=H","UseDPDF=Y")</f>
        <v>75037</v>
      </c>
      <c r="E26" s="16">
        <f>_xll.BDH("XOM US Equity","BS_TOT_NON_CUR_ASSET","FQ1 1999","FQ1 1999","Currency=USD","Period=FQ","BEST_FPERIOD_OVERRIDE=FQ","FILING_STATUS=OR","SCALING_FORMAT=MLN","Sort=A","Dates=H","DateFormat=P","Fill=—","Direction=H","UseDPDF=Y")</f>
        <v>74022</v>
      </c>
      <c r="F26" s="16">
        <f>_xll.BDH("XOM US Equity","BS_TOT_NON_CUR_ASSET","FQ2 1999","FQ2 1999","Currency=USD","Period=FQ","BEST_FPERIOD_OVERRIDE=FQ","FILING_STATUS=OR","SCALING_FORMAT=MLN","Sort=A","Dates=H","DateFormat=P","Fill=—","Direction=H","UseDPDF=Y")</f>
        <v>74806</v>
      </c>
      <c r="G26" s="16">
        <f>_xll.BDH("XOM US Equity","BS_TOT_NON_CUR_ASSET","FQ3 1999","FQ3 1999","Currency=USD","Period=FQ","BEST_FPERIOD_OVERRIDE=FQ","FILING_STATUS=OR","SCALING_FORMAT=MLN","Sort=A","Dates=H","DateFormat=P","Fill=—","Direction=H","UseDPDF=Y")</f>
        <v>76346</v>
      </c>
      <c r="H26" s="16">
        <f>_xll.BDH("XOM US Equity","BS_TOT_NON_CUR_ASSET","FQ4 1999","FQ4 1999","Currency=USD","Period=FQ","BEST_FPERIOD_OVERRIDE=FQ","FILING_STATUS=OR","SCALING_FORMAT=MLN","Sort=A","Dates=H","DateFormat=P","Fill=—","Direction=H","UseDPDF=Y")</f>
        <v>113380</v>
      </c>
      <c r="I26" s="16">
        <f>_xll.BDH("XOM US Equity","BS_TOT_NON_CUR_ASSET","FQ1 2000","FQ1 2000","Currency=USD","Period=FQ","BEST_FPERIOD_OVERRIDE=FQ","FILING_STATUS=OR","SCALING_FORMAT=MLN","Sort=A","Dates=H","DateFormat=P","Fill=—","Direction=H","UseDPDF=Y")</f>
        <v>110858</v>
      </c>
      <c r="J26" s="16">
        <f>_xll.BDH("XOM US Equity","BS_TOT_NON_CUR_ASSET","FQ2 2000","FQ2 2000","Currency=USD","Period=FQ","BEST_FPERIOD_OVERRIDE=FQ","FILING_STATUS=OR","SCALING_FORMAT=MLN","Sort=A","Dates=H","DateFormat=P","Fill=—","Direction=H","UseDPDF=Y")</f>
        <v>109567</v>
      </c>
      <c r="K26" s="16">
        <f>_xll.BDH("XOM US Equity","BS_TOT_NON_CUR_ASSET","FQ3 2000","FQ3 2000","Currency=USD","Period=FQ","BEST_FPERIOD_OVERRIDE=FQ","FILING_STATUS=OR","SCALING_FORMAT=MLN","Sort=A","Dates=H","DateFormat=P","Fill=—","Direction=H","UseDPDF=Y")</f>
        <v>108803</v>
      </c>
      <c r="L26" s="16">
        <f>_xll.BDH("XOM US Equity","BS_TOT_NON_CUR_ASSET","FQ4 2000","FQ4 2000","Currency=USD","Period=FQ","BEST_FPERIOD_OVERRIDE=FQ","FILING_STATUS=OR","SCALING_FORMAT=MLN","Sort=A","Dates=H","DateFormat=P","Fill=—","Direction=H","UseDPDF=Y")</f>
        <v>108601</v>
      </c>
      <c r="M26" s="16">
        <f>_xll.BDH("XOM US Equity","BS_TOT_NON_CUR_ASSET","FQ1 2001","FQ1 2001","Currency=USD","Period=FQ","BEST_FPERIOD_OVERRIDE=FQ","FILING_STATUS=OR","SCALING_FORMAT=MLN","Sort=A","Dates=H","DateFormat=P","Fill=—","Direction=H","UseDPDF=Y")</f>
        <v>106259</v>
      </c>
      <c r="N26" s="16">
        <f>_xll.BDH("XOM US Equity","BS_TOT_NON_CUR_ASSET","FQ2 2001","FQ2 2001","Currency=USD","Period=FQ","BEST_FPERIOD_OVERRIDE=FQ","FILING_STATUS=OR","SCALING_FORMAT=MLN","Sort=A","Dates=H","DateFormat=P","Fill=—","Direction=H","UseDPDF=Y")</f>
        <v>106338</v>
      </c>
      <c r="O26" s="16">
        <f>_xll.BDH("XOM US Equity","BS_TOT_NON_CUR_ASSET","FQ3 2001","FQ3 2001","Currency=USD","Period=FQ","BEST_FPERIOD_OVERRIDE=FQ","FILING_STATUS=OR","SCALING_FORMAT=MLN","Sort=A","Dates=H","DateFormat=P","Fill=—","Direction=H","UseDPDF=Y")</f>
        <v>107577</v>
      </c>
      <c r="P26" s="16">
        <f>_xll.BDH("XOM US Equity","BS_TOT_NON_CUR_ASSET","FQ4 2001","FQ4 2001","Currency=USD","Period=FQ","BEST_FPERIOD_OVERRIDE=FQ","FILING_STATUS=OR","SCALING_FORMAT=MLN","Sort=A","Dates=H","DateFormat=P","Fill=—","Direction=H","UseDPDF=Y")</f>
        <v>107493</v>
      </c>
      <c r="Q26" s="16">
        <f>_xll.BDH("XOM US Equity","BS_TOT_NON_CUR_ASSET","FQ1 2002","FQ1 2002","Currency=USD","Period=FQ","BEST_FPERIOD_OVERRIDE=FQ","FILING_STATUS=OR","SCALING_FORMAT=MLN","Sort=A","Dates=H","DateFormat=P","Fill=—","Direction=H","UseDPDF=Y")</f>
        <v>106582</v>
      </c>
      <c r="R26" s="16">
        <f>_xll.BDH("XOM US Equity","BS_TOT_NON_CUR_ASSET","FQ2 2002","FQ2 2002","Currency=USD","Period=FQ","BEST_FPERIOD_OVERRIDE=FQ","FILING_STATUS=OR","SCALING_FORMAT=MLN","Sort=A","Dates=H","DateFormat=P","Fill=—","Direction=H","UseDPDF=Y")</f>
        <v>112095</v>
      </c>
      <c r="S26" s="16">
        <f>_xll.BDH("XOM US Equity","BS_TOT_NON_CUR_ASSET","FQ3 2002","FQ3 2002","Currency=USD","Period=FQ","BEST_FPERIOD_OVERRIDE=FQ","FILING_STATUS=OR","SCALING_FORMAT=MLN","Sort=A","Dates=H","DateFormat=P","Fill=—","Direction=H","UseDPDF=Y")</f>
        <v>112930</v>
      </c>
      <c r="T26" s="16">
        <f>_xll.BDH("XOM US Equity","BS_TOT_NON_CUR_ASSET","FQ4 2002","FQ4 2002","Currency=USD","Period=FQ","BEST_FPERIOD_OVERRIDE=FQ","FILING_STATUS=OR","SCALING_FORMAT=MLN","Sort=A","Dates=H","DateFormat=P","Fill=—","Direction=H","UseDPDF=Y")</f>
        <v>114353</v>
      </c>
      <c r="U26" s="16">
        <f>_xll.BDH("XOM US Equity","BS_TOT_NON_CUR_ASSET","FQ1 2003","FQ1 2003","Currency=USD","Period=FQ","BEST_FPERIOD_OVERRIDE=FQ","FILING_STATUS=OR","SCALING_FORMAT=MLN","Sort=A","Dates=H","DateFormat=P","Fill=—","Direction=H","UseDPDF=Y")</f>
        <v>117021</v>
      </c>
      <c r="V26" s="16">
        <f>_xll.BDH("XOM US Equity","BS_TOT_NON_CUR_ASSET","FQ2 2003","FQ2 2003","Currency=USD","Period=FQ","BEST_FPERIOD_OVERRIDE=FQ","FILING_STATUS=OR","SCALING_FORMAT=MLN","Sort=A","Dates=H","DateFormat=P","Fill=—","Direction=H","UseDPDF=Y")</f>
        <v>121037</v>
      </c>
      <c r="W26" s="16">
        <f>_xll.BDH("XOM US Equity","BS_TOT_NON_CUR_ASSET","FQ3 2003","FQ3 2003","Currency=USD","Period=FQ","BEST_FPERIOD_OVERRIDE=FQ","FILING_STATUS=OR","SCALING_FORMAT=MLN","Sort=A","Dates=H","DateFormat=P","Fill=—","Direction=H","UseDPDF=Y")</f>
        <v>124029</v>
      </c>
      <c r="X26" s="16">
        <f>_xll.BDH("XOM US Equity","BS_TOT_NON_CUR_ASSET","FQ4 2003","FQ4 2003","Currency=USD","Period=FQ","BEST_FPERIOD_OVERRIDE=FQ","FILING_STATUS=OR","SCALING_FORMAT=MLN","Sort=A","Dates=H","DateFormat=P","Fill=—","Direction=H","UseDPDF=Y")</f>
        <v>128318</v>
      </c>
      <c r="Y26" s="16">
        <f>_xll.BDH("XOM US Equity","BS_TOT_NON_CUR_ASSET","FQ1 2004","FQ1 2004","Currency=USD","Period=FQ","BEST_FPERIOD_OVERRIDE=FQ","FILING_STATUS=OR","SCALING_FORMAT=MLN","Sort=A","Dates=H","DateFormat=P","Fill=—","Direction=H","UseDPDF=Y")</f>
        <v>127727</v>
      </c>
      <c r="Z26" s="16">
        <f>_xll.BDH("XOM US Equity","BS_TOT_NON_CUR_ASSET","FQ2 2004","FQ2 2004","Currency=USD","Period=FQ","BEST_FPERIOD_OVERRIDE=FQ","FILING_STATUS=OR","SCALING_FORMAT=MLN","Sort=A","Dates=H","DateFormat=P","Fill=—","Direction=H","UseDPDF=Y")</f>
        <v>126739</v>
      </c>
      <c r="AA26" s="16">
        <f>_xll.BDH("XOM US Equity","BS_TOT_NON_CUR_ASSET","FQ3 2004","FQ3 2004","Currency=USD","Period=FQ","BEST_FPERIOD_OVERRIDE=FQ","FILING_STATUS=OR","SCALING_FORMAT=MLN","Sort=A","Dates=H","DateFormat=P","Fill=—","Direction=H","UseDPDF=Y")</f>
        <v>129498</v>
      </c>
      <c r="AB26" s="16">
        <f>_xll.BDH("XOM US Equity","BS_TOT_NON_CUR_ASSET","FQ4 2004","FQ4 2004","Currency=USD","Period=FQ","BEST_FPERIOD_OVERRIDE=FQ","FILING_STATUS=OR","SCALING_FORMAT=MLN","Sort=A","Dates=H","DateFormat=P","Fill=—","Direction=H","UseDPDF=Y")</f>
        <v>134879</v>
      </c>
      <c r="AC26" s="16">
        <f>_xll.BDH("XOM US Equity","BS_TOT_NON_CUR_ASSET","FQ1 2005","FQ1 2005","Currency=USD","Period=FQ","BEST_FPERIOD_OVERRIDE=FQ","FILING_STATUS=OR","SCALING_FORMAT=MLN","Sort=A","Dates=H","DateFormat=P","Fill=—","Direction=H","UseDPDF=Y")</f>
        <v>132662</v>
      </c>
      <c r="AD26" s="16">
        <f>_xll.BDH("XOM US Equity","BS_TOT_NON_CUR_ASSET","FQ2 2005","FQ2 2005","Currency=USD","Period=FQ","BEST_FPERIOD_OVERRIDE=FQ","FILING_STATUS=OR","SCALING_FORMAT=MLN","Sort=A","Dates=H","DateFormat=P","Fill=—","Direction=H","UseDPDF=Y")</f>
        <v>132186</v>
      </c>
      <c r="AE26" s="16">
        <f>_xll.BDH("XOM US Equity","BS_TOT_NON_CUR_ASSET","FQ3 2005","FQ3 2005","Currency=USD","Period=FQ","BEST_FPERIOD_OVERRIDE=FQ","FILING_STATUS=OR","SCALING_FORMAT=MLN","Sort=A","Dates=H","DateFormat=P","Fill=—","Direction=H","UseDPDF=Y")</f>
        <v>134991</v>
      </c>
      <c r="AF26" s="16">
        <f>_xll.BDH("XOM US Equity","BS_TOT_NON_CUR_ASSET","FQ4 2005","FQ4 2005","Currency=USD","Period=FQ","BEST_FPERIOD_OVERRIDE=FQ","FILING_STATUS=OR","SCALING_FORMAT=MLN","Sort=A","Dates=H","DateFormat=P","Fill=—","Direction=H","UseDPDF=Y")</f>
        <v>134993</v>
      </c>
      <c r="AG26" s="16">
        <f>_xll.BDH("XOM US Equity","BS_TOT_NON_CUR_ASSET","FQ1 2006","FQ1 2006","Currency=USD","Period=FQ","BEST_FPERIOD_OVERRIDE=FQ","FILING_STATUS=OR","SCALING_FORMAT=MLN","Sort=A","Dates=H","DateFormat=P","Fill=—","Direction=H","UseDPDF=Y")</f>
        <v>137528</v>
      </c>
      <c r="AH26" s="16">
        <f>_xll.BDH("XOM US Equity","BS_TOT_NON_CUR_ASSET","FQ2 2006","FQ2 2006","Currency=USD","Period=FQ","BEST_FPERIOD_OVERRIDE=FQ","FILING_STATUS=OR","SCALING_FORMAT=MLN","Sort=A","Dates=H","DateFormat=P","Fill=—","Direction=H","UseDPDF=Y")</f>
        <v>140352</v>
      </c>
      <c r="AI26" s="16">
        <f>_xll.BDH("XOM US Equity","BS_TOT_NON_CUR_ASSET","FQ3 2006","FQ3 2006","Currency=USD","Period=FQ","BEST_FPERIOD_OVERRIDE=FQ","FILING_STATUS=OR","SCALING_FORMAT=MLN","Sort=A","Dates=H","DateFormat=P","Fill=—","Direction=H","UseDPDF=Y")</f>
        <v>142194</v>
      </c>
      <c r="AJ26" s="16">
        <f>_xll.BDH("XOM US Equity","BS_TOT_NON_CUR_ASSET","FQ4 2006","FQ4 2006","Currency=USD","Period=FQ","BEST_FPERIOD_OVERRIDE=FQ","FILING_STATUS=OR","SCALING_FORMAT=MLN","Sort=A","Dates=H","DateFormat=P","Fill=—","Direction=H","UseDPDF=Y")</f>
        <v>143238</v>
      </c>
      <c r="AK26" s="16">
        <f>_xll.BDH("XOM US Equity","BS_TOT_NON_CUR_ASSET","FQ1 2007","FQ1 2007","Currency=USD","Period=FQ","BEST_FPERIOD_OVERRIDE=FQ","FILING_STATUS=OR","SCALING_FORMAT=MLN","Sort=A","Dates=H","DateFormat=P","Fill=—","Direction=H","UseDPDF=Y")</f>
        <v>114201</v>
      </c>
      <c r="AL26" s="16">
        <f>_xll.BDH("XOM US Equity","BS_TOT_NON_CUR_ASSET","FQ2 2007","FQ2 2007","Currency=USD","Period=FQ","BEST_FPERIOD_OVERRIDE=FQ","FILING_STATUS=OR","SCALING_FORMAT=MLN","Sort=A","Dates=H","DateFormat=P","Fill=—","Direction=H","UseDPDF=Y")</f>
        <v>147595</v>
      </c>
      <c r="AM26" s="16">
        <f>_xll.BDH("XOM US Equity","BS_TOT_NON_CUR_ASSET","FQ3 2007","FQ3 2007","Currency=USD","Period=FQ","BEST_FPERIOD_OVERRIDE=FQ","FILING_STATUS=OR","SCALING_FORMAT=MLN","Sort=A","Dates=H","DateFormat=P","Fill=—","Direction=H","UseDPDF=Y")</f>
        <v>151414</v>
      </c>
      <c r="AN26" s="16">
        <f>_xll.BDH("XOM US Equity","BS_TOT_NON_CUR_ASSET","FQ4 2007","FQ4 2007","Currency=USD","Period=FQ","BEST_FPERIOD_OVERRIDE=FQ","FILING_STATUS=OR","SCALING_FORMAT=MLN","Sort=A","Dates=H","DateFormat=P","Fill=—","Direction=H","UseDPDF=Y")</f>
        <v>156119</v>
      </c>
      <c r="AO26" s="16">
        <f>_xll.BDH("XOM US Equity","BS_TOT_NON_CUR_ASSET","FQ1 2008","FQ1 2008","Currency=USD","Period=FQ","BEST_FPERIOD_OVERRIDE=FQ","FILING_STATUS=OR","SCALING_FORMAT=MLN","Sort=A","Dates=H","DateFormat=P","Fill=—","Direction=H","UseDPDF=Y")</f>
        <v>160444</v>
      </c>
      <c r="AP26" s="16">
        <f>_xll.BDH("XOM US Equity","BS_TOT_NON_CUR_ASSET","FQ2 2008","FQ2 2008","Currency=USD","Period=FQ","BEST_FPERIOD_OVERRIDE=FQ","FILING_STATUS=OR","SCALING_FORMAT=MLN","Sort=A","Dates=H","DateFormat=P","Fill=—","Direction=H","UseDPDF=Y")</f>
        <v>162776</v>
      </c>
    </row>
    <row r="27" spans="1:42" x14ac:dyDescent="0.25">
      <c r="A27" s="6" t="s">
        <v>176</v>
      </c>
      <c r="B27" s="6" t="s">
        <v>217</v>
      </c>
      <c r="C27" s="16">
        <f>_xll.BDH("XOM US Equity","BS_TOT_ASSET","FQ3 1998","FQ3 1998","Currency=USD","Period=FQ","BEST_FPERIOD_OVERRIDE=FQ","FILING_STATUS=OR","SCALING_FORMAT=MLN","Sort=A","Dates=H","DateFormat=P","Fill=—","Direction=H","UseDPDF=Y")</f>
        <v>95227</v>
      </c>
      <c r="D27" s="16">
        <f>_xll.BDH("XOM US Equity","BS_TOT_ASSET","FQ4 1998","FQ4 1998","Currency=USD","Period=FQ","BEST_FPERIOD_OVERRIDE=FQ","FILING_STATUS=OR","SCALING_FORMAT=MLN","Sort=A","Dates=H","DateFormat=P","Fill=—","Direction=H","UseDPDF=Y")</f>
        <v>92630</v>
      </c>
      <c r="E27" s="16">
        <f>_xll.BDH("XOM US Equity","BS_TOT_ASSET","FQ1 1999","FQ1 1999","Currency=USD","Period=FQ","BEST_FPERIOD_OVERRIDE=FQ","FILING_STATUS=OR","SCALING_FORMAT=MLN","Sort=A","Dates=H","DateFormat=P","Fill=—","Direction=H","UseDPDF=Y")</f>
        <v>90731</v>
      </c>
      <c r="F27" s="16">
        <f>_xll.BDH("XOM US Equity","BS_TOT_ASSET","FQ2 1999","FQ2 1999","Currency=USD","Period=FQ","BEST_FPERIOD_OVERRIDE=FQ","FILING_STATUS=OR","SCALING_FORMAT=MLN","Sort=A","Dates=H","DateFormat=P","Fill=—","Direction=H","UseDPDF=Y")</f>
        <v>91235</v>
      </c>
      <c r="G27" s="16">
        <f>_xll.BDH("XOM US Equity","BS_TOT_ASSET","FQ3 1999","FQ3 1999","Currency=USD","Period=FQ","BEST_FPERIOD_OVERRIDE=FQ","FILING_STATUS=OR","SCALING_FORMAT=MLN","Sort=A","Dates=H","DateFormat=P","Fill=—","Direction=H","UseDPDF=Y")</f>
        <v>94394</v>
      </c>
      <c r="H27" s="16">
        <f>_xll.BDH("XOM US Equity","BS_TOT_ASSET","FQ4 1999","FQ4 1999","Currency=USD","Period=FQ","BEST_FPERIOD_OVERRIDE=FQ","FILING_STATUS=OR","SCALING_FORMAT=MLN","Sort=A","Dates=H","DateFormat=P","Fill=—","Direction=H","UseDPDF=Y")</f>
        <v>144521</v>
      </c>
      <c r="I27" s="16">
        <f>_xll.BDH("XOM US Equity","BS_TOT_ASSET","FQ1 2000","FQ1 2000","Currency=USD","Period=FQ","BEST_FPERIOD_OVERRIDE=FQ","FILING_STATUS=OR","SCALING_FORMAT=MLN","Sort=A","Dates=H","DateFormat=P","Fill=—","Direction=H","UseDPDF=Y")</f>
        <v>143238</v>
      </c>
      <c r="J27" s="16">
        <f>_xll.BDH("XOM US Equity","BS_TOT_ASSET","FQ2 2000","FQ2 2000","Currency=USD","Period=FQ","BEST_FPERIOD_OVERRIDE=FQ","FILING_STATUS=OR","SCALING_FORMAT=MLN","Sort=A","Dates=H","DateFormat=P","Fill=—","Direction=H","UseDPDF=Y")</f>
        <v>146618</v>
      </c>
      <c r="K27" s="16">
        <f>_xll.BDH("XOM US Equity","BS_TOT_ASSET","FQ3 2000","FQ3 2000","Currency=USD","Period=FQ","BEST_FPERIOD_OVERRIDE=FQ","FILING_STATUS=OR","SCALING_FORMAT=MLN","Sort=A","Dates=H","DateFormat=P","Fill=—","Direction=H","UseDPDF=Y")</f>
        <v>148252</v>
      </c>
      <c r="L27" s="16">
        <f>_xll.BDH("XOM US Equity","BS_TOT_ASSET","FQ4 2000","FQ4 2000","Currency=USD","Period=FQ","BEST_FPERIOD_OVERRIDE=FQ","FILING_STATUS=OR","SCALING_FORMAT=MLN","Sort=A","Dates=H","DateFormat=P","Fill=—","Direction=H","UseDPDF=Y")</f>
        <v>149000</v>
      </c>
      <c r="M27" s="16">
        <f>_xll.BDH("XOM US Equity","BS_TOT_ASSET","FQ1 2001","FQ1 2001","Currency=USD","Period=FQ","BEST_FPERIOD_OVERRIDE=FQ","FILING_STATUS=OR","SCALING_FORMAT=MLN","Sort=A","Dates=H","DateFormat=P","Fill=—","Direction=H","UseDPDF=Y")</f>
        <v>148786</v>
      </c>
      <c r="N27" s="16">
        <f>_xll.BDH("XOM US Equity","BS_TOT_ASSET","FQ2 2001","FQ2 2001","Currency=USD","Period=FQ","BEST_FPERIOD_OVERRIDE=FQ","FILING_STATUS=OR","SCALING_FORMAT=MLN","Sort=A","Dates=H","DateFormat=P","Fill=—","Direction=H","UseDPDF=Y")</f>
        <v>147660</v>
      </c>
      <c r="O27" s="16">
        <f>_xll.BDH("XOM US Equity","BS_TOT_ASSET","FQ3 2001","FQ3 2001","Currency=USD","Period=FQ","BEST_FPERIOD_OVERRIDE=FQ","FILING_STATUS=OR","SCALING_FORMAT=MLN","Sort=A","Dates=H","DateFormat=P","Fill=—","Direction=H","UseDPDF=Y")</f>
        <v>147904</v>
      </c>
      <c r="P27" s="16">
        <f>_xll.BDH("XOM US Equity","BS_TOT_ASSET","FQ4 2001","FQ4 2001","Currency=USD","Period=FQ","BEST_FPERIOD_OVERRIDE=FQ","FILING_STATUS=OR","SCALING_FORMAT=MLN","Sort=A","Dates=H","DateFormat=P","Fill=—","Direction=H","UseDPDF=Y")</f>
        <v>143174</v>
      </c>
      <c r="Q27" s="16">
        <f>_xll.BDH("XOM US Equity","BS_TOT_ASSET","FQ1 2002","FQ1 2002","Currency=USD","Period=FQ","BEST_FPERIOD_OVERRIDE=FQ","FILING_STATUS=OR","SCALING_FORMAT=MLN","Sort=A","Dates=H","DateFormat=P","Fill=—","Direction=H","UseDPDF=Y")</f>
        <v>142037</v>
      </c>
      <c r="R27" s="16">
        <f>_xll.BDH("XOM US Equity","BS_TOT_ASSET","FQ2 2002","FQ2 2002","Currency=USD","Period=FQ","BEST_FPERIOD_OVERRIDE=FQ","FILING_STATUS=OR","SCALING_FORMAT=MLN","Sort=A","Dates=H","DateFormat=P","Fill=—","Direction=H","UseDPDF=Y")</f>
        <v>148232</v>
      </c>
      <c r="S27" s="16">
        <f>_xll.BDH("XOM US Equity","BS_TOT_ASSET","FQ3 2002","FQ3 2002","Currency=USD","Period=FQ","BEST_FPERIOD_OVERRIDE=FQ","FILING_STATUS=OR","SCALING_FORMAT=MLN","Sort=A","Dates=H","DateFormat=P","Fill=—","Direction=H","UseDPDF=Y")</f>
        <v>149473</v>
      </c>
      <c r="T27" s="16">
        <f>_xll.BDH("XOM US Equity","BS_TOT_ASSET","FQ4 2002","FQ4 2002","Currency=USD","Period=FQ","BEST_FPERIOD_OVERRIDE=FQ","FILING_STATUS=OR","SCALING_FORMAT=MLN","Sort=A","Dates=H","DateFormat=P","Fill=—","Direction=H","UseDPDF=Y")</f>
        <v>152644</v>
      </c>
      <c r="U27" s="16">
        <f>_xll.BDH("XOM US Equity","BS_TOT_ASSET","FQ1 2003","FQ1 2003","Currency=USD","Period=FQ","BEST_FPERIOD_OVERRIDE=FQ","FILING_STATUS=OR","SCALING_FORMAT=MLN","Sort=A","Dates=H","DateFormat=P","Fill=—","Direction=H","UseDPDF=Y")</f>
        <v>162495</v>
      </c>
      <c r="V27" s="16">
        <f>_xll.BDH("XOM US Equity","BS_TOT_ASSET","FQ2 2003","FQ2 2003","Currency=USD","Period=FQ","BEST_FPERIOD_OVERRIDE=FQ","FILING_STATUS=OR","SCALING_FORMAT=MLN","Sort=A","Dates=H","DateFormat=P","Fill=—","Direction=H","UseDPDF=Y")</f>
        <v>165103</v>
      </c>
      <c r="W27" s="16">
        <f>_xll.BDH("XOM US Equity","BS_TOT_ASSET","FQ3 2003","FQ3 2003","Currency=USD","Period=FQ","BEST_FPERIOD_OVERRIDE=FQ","FILING_STATUS=OR","SCALING_FORMAT=MLN","Sort=A","Dates=H","DateFormat=P","Fill=—","Direction=H","UseDPDF=Y")</f>
        <v>166987</v>
      </c>
      <c r="X27" s="16">
        <f>_xll.BDH("XOM US Equity","BS_TOT_ASSET","FQ4 2003","FQ4 2003","Currency=USD","Period=FQ","BEST_FPERIOD_OVERRIDE=FQ","FILING_STATUS=OR","SCALING_FORMAT=MLN","Sort=A","Dates=H","DateFormat=P","Fill=—","Direction=H","UseDPDF=Y")</f>
        <v>174278</v>
      </c>
      <c r="Y27" s="16">
        <f>_xll.BDH("XOM US Equity","BS_TOT_ASSET","FQ1 2004","FQ1 2004","Currency=USD","Period=FQ","BEST_FPERIOD_OVERRIDE=FQ","FILING_STATUS=OR","SCALING_FORMAT=MLN","Sort=A","Dates=H","DateFormat=P","Fill=—","Direction=H","UseDPDF=Y")</f>
        <v>180202</v>
      </c>
      <c r="Z27" s="16">
        <f>_xll.BDH("XOM US Equity","BS_TOT_ASSET","FQ2 2004","FQ2 2004","Currency=USD","Period=FQ","BEST_FPERIOD_OVERRIDE=FQ","FILING_STATUS=OR","SCALING_FORMAT=MLN","Sort=A","Dates=H","DateFormat=P","Fill=—","Direction=H","UseDPDF=Y")</f>
        <v>180989</v>
      </c>
      <c r="AA27" s="16">
        <f>_xll.BDH("XOM US Equity","BS_TOT_ASSET","FQ3 2004","FQ3 2004","Currency=USD","Period=FQ","BEST_FPERIOD_OVERRIDE=FQ","FILING_STATUS=OR","SCALING_FORMAT=MLN","Sort=A","Dates=H","DateFormat=P","Fill=—","Direction=H","UseDPDF=Y")</f>
        <v>187433</v>
      </c>
      <c r="AB27" s="16">
        <f>_xll.BDH("XOM US Equity","BS_TOT_ASSET","FQ4 2004","FQ4 2004","Currency=USD","Period=FQ","BEST_FPERIOD_OVERRIDE=FQ","FILING_STATUS=OR","SCALING_FORMAT=MLN","Sort=A","Dates=H","DateFormat=P","Fill=—","Direction=H","UseDPDF=Y")</f>
        <v>195256</v>
      </c>
      <c r="AC27" s="16">
        <f>_xll.BDH("XOM US Equity","BS_TOT_ASSET","FQ1 2005","FQ1 2005","Currency=USD","Period=FQ","BEST_FPERIOD_OVERRIDE=FQ","FILING_STATUS=OR","SCALING_FORMAT=MLN","Sort=A","Dates=H","DateFormat=P","Fill=—","Direction=H","UseDPDF=Y")</f>
        <v>201252</v>
      </c>
      <c r="AD27" s="16">
        <f>_xll.BDH("XOM US Equity","BS_TOT_ASSET","FQ2 2005","FQ2 2005","Currency=USD","Period=FQ","BEST_FPERIOD_OVERRIDE=FQ","FILING_STATUS=OR","SCALING_FORMAT=MLN","Sort=A","Dates=H","DateFormat=P","Fill=—","Direction=H","UseDPDF=Y")</f>
        <v>201816</v>
      </c>
      <c r="AE27" s="16">
        <f>_xll.BDH("XOM US Equity","BS_TOT_ASSET","FQ3 2005","FQ3 2005","Currency=USD","Period=FQ","BEST_FPERIOD_OVERRIDE=FQ","FILING_STATUS=OR","SCALING_FORMAT=MLN","Sort=A","Dates=H","DateFormat=P","Fill=—","Direction=H","UseDPDF=Y")</f>
        <v>209721</v>
      </c>
      <c r="AF27" s="16">
        <f>_xll.BDH("XOM US Equity","BS_TOT_ASSET","FQ4 2005","FQ4 2005","Currency=USD","Period=FQ","BEST_FPERIOD_OVERRIDE=FQ","FILING_STATUS=OR","SCALING_FORMAT=MLN","Sort=A","Dates=H","DateFormat=P","Fill=—","Direction=H","UseDPDF=Y")</f>
        <v>208335</v>
      </c>
      <c r="AG27" s="16">
        <f>_xll.BDH("XOM US Equity","BS_TOT_ASSET","FQ1 2006","FQ1 2006","Currency=USD","Period=FQ","BEST_FPERIOD_OVERRIDE=FQ","FILING_STATUS=OR","SCALING_FORMAT=MLN","Sort=A","Dates=H","DateFormat=P","Fill=—","Direction=H","UseDPDF=Y")</f>
        <v>216002</v>
      </c>
      <c r="AH27" s="16">
        <f>_xll.BDH("XOM US Equity","BS_TOT_ASSET","FQ2 2006","FQ2 2006","Currency=USD","Period=FQ","BEST_FPERIOD_OVERRIDE=FQ","FILING_STATUS=OR","SCALING_FORMAT=MLN","Sort=A","Dates=H","DateFormat=P","Fill=—","Direction=H","UseDPDF=Y")</f>
        <v>221010</v>
      </c>
      <c r="AI27" s="16">
        <f>_xll.BDH("XOM US Equity","BS_TOT_ASSET","FQ3 2006","FQ3 2006","Currency=USD","Period=FQ","BEST_FPERIOD_OVERRIDE=FQ","FILING_STATUS=OR","SCALING_FORMAT=MLN","Sort=A","Dates=H","DateFormat=P","Fill=—","Direction=H","UseDPDF=Y")</f>
        <v>223947</v>
      </c>
      <c r="AJ27" s="16">
        <f>_xll.BDH("XOM US Equity","BS_TOT_ASSET","FQ4 2006","FQ4 2006","Currency=USD","Period=FQ","BEST_FPERIOD_OVERRIDE=FQ","FILING_STATUS=OR","SCALING_FORMAT=MLN","Sort=A","Dates=H","DateFormat=P","Fill=—","Direction=H","UseDPDF=Y")</f>
        <v>219015</v>
      </c>
      <c r="AK27" s="16">
        <f>_xll.BDH("XOM US Equity","BS_TOT_ASSET","FQ1 2007","FQ1 2007","Currency=USD","Period=FQ","BEST_FPERIOD_OVERRIDE=FQ","FILING_STATUS=OR","SCALING_FORMAT=MLN","Sort=A","Dates=H","DateFormat=P","Fill=—","Direction=H","UseDPDF=Y")</f>
        <v>223299</v>
      </c>
      <c r="AL27" s="16">
        <f>_xll.BDH("XOM US Equity","BS_TOT_ASSET","FQ2 2007","FQ2 2007","Currency=USD","Period=FQ","BEST_FPERIOD_OVERRIDE=FQ","FILING_STATUS=OR","SCALING_FORMAT=MLN","Sort=A","Dates=H","DateFormat=P","Fill=—","Direction=H","UseDPDF=Y")</f>
        <v>228315</v>
      </c>
      <c r="AM27" s="16">
        <f>_xll.BDH("XOM US Equity","BS_TOT_ASSET","FQ3 2007","FQ3 2007","Currency=USD","Period=FQ","BEST_FPERIOD_OVERRIDE=FQ","FILING_STATUS=OR","SCALING_FORMAT=MLN","Sort=A","Dates=H","DateFormat=P","Fill=—","Direction=H","UseDPDF=Y")</f>
        <v>236661</v>
      </c>
      <c r="AN27" s="16">
        <f>_xll.BDH("XOM US Equity","BS_TOT_ASSET","FQ4 2007","FQ4 2007","Currency=USD","Period=FQ","BEST_FPERIOD_OVERRIDE=FQ","FILING_STATUS=OR","SCALING_FORMAT=MLN","Sort=A","Dates=H","DateFormat=P","Fill=—","Direction=H","UseDPDF=Y")</f>
        <v>242082</v>
      </c>
      <c r="AO27" s="16">
        <f>_xll.BDH("XOM US Equity","BS_TOT_ASSET","FQ1 2008","FQ1 2008","Currency=USD","Period=FQ","BEST_FPERIOD_OVERRIDE=FQ","FILING_STATUS=OR","SCALING_FORMAT=MLN","Sort=A","Dates=H","DateFormat=P","Fill=—","Direction=H","UseDPDF=Y")</f>
        <v>258202</v>
      </c>
      <c r="AP27" s="16">
        <f>_xll.BDH("XOM US Equity","BS_TOT_ASSET","FQ2 2008","FQ2 2008","Currency=USD","Period=FQ","BEST_FPERIOD_OVERRIDE=FQ","FILING_STATUS=OR","SCALING_FORMAT=MLN","Sort=A","Dates=H","DateFormat=P","Fill=—","Direction=H","UseDPDF=Y")</f>
        <v>266758</v>
      </c>
    </row>
    <row r="28" spans="1:42" x14ac:dyDescent="0.25">
      <c r="A28" s="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spans="1:42" x14ac:dyDescent="0.25">
      <c r="A29" s="6" t="s">
        <v>218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spans="1:42" x14ac:dyDescent="0.25">
      <c r="A30" s="10" t="s">
        <v>219</v>
      </c>
      <c r="B30" s="10" t="s">
        <v>220</v>
      </c>
      <c r="C30" s="13">
        <f>_xll.BDH("XOM US Equity","ACCT_PAYABLE_&amp;_ACCRUALS_DETAILED","FQ3 1998","FQ3 1998","Currency=USD","Period=FQ","BEST_FPERIOD_OVERRIDE=FQ","FILING_STATUS=OR","SCALING_FORMAT=MLN","Sort=A","Dates=H","DateFormat=P","Fill=—","Direction=H","UseDPDF=Y")</f>
        <v>14269</v>
      </c>
      <c r="D30" s="13">
        <f>_xll.BDH("XOM US Equity","ACCT_PAYABLE_&amp;_ACCRUALS_DETAILED","FQ4 1998","FQ4 1998","Currency=USD","Period=FQ","BEST_FPERIOD_OVERRIDE=FQ","FILING_STATUS=OR","SCALING_FORMAT=MLN","Sort=A","Dates=H","DateFormat=P","Fill=—","Direction=H","UseDPDF=Y")</f>
        <v>7369</v>
      </c>
      <c r="E30" s="13">
        <f>_xll.BDH("XOM US Equity","ACCT_PAYABLE_&amp;_ACCRUALS_DETAILED","FQ1 1999","FQ1 1999","Currency=USD","Period=FQ","BEST_FPERIOD_OVERRIDE=FQ","FILING_STATUS=OR","SCALING_FORMAT=MLN","Sort=A","Dates=H","DateFormat=P","Fill=—","Direction=H","UseDPDF=Y")</f>
        <v>13670</v>
      </c>
      <c r="F30" s="13">
        <f>_xll.BDH("XOM US Equity","ACCT_PAYABLE_&amp;_ACCRUALS_DETAILED","FQ2 1999","FQ2 1999","Currency=USD","Period=FQ","BEST_FPERIOD_OVERRIDE=FQ","FILING_STATUS=OR","SCALING_FORMAT=MLN","Sort=A","Dates=H","DateFormat=P","Fill=—","Direction=H","UseDPDF=Y")</f>
        <v>13734</v>
      </c>
      <c r="G30" s="13">
        <f>_xll.BDH("XOM US Equity","ACCT_PAYABLE_&amp;_ACCRUALS_DETAILED","FQ3 1999","FQ3 1999","Currency=USD","Period=FQ","BEST_FPERIOD_OVERRIDE=FQ","FILING_STATUS=OR","SCALING_FORMAT=MLN","Sort=A","Dates=H","DateFormat=P","Fill=—","Direction=H","UseDPDF=Y")</f>
        <v>15410</v>
      </c>
      <c r="H30" s="13">
        <f>_xll.BDH("XOM US Equity","ACCT_PAYABLE_&amp;_ACCRUALS_DETAILED","FQ4 1999","FQ4 1999","Currency=USD","Period=FQ","BEST_FPERIOD_OVERRIDE=FQ","FILING_STATUS=OR","SCALING_FORMAT=MLN","Sort=A","Dates=H","DateFormat=P","Fill=—","Direction=H","UseDPDF=Y")</f>
        <v>13524</v>
      </c>
      <c r="I30" s="13">
        <f>_xll.BDH("XOM US Equity","ACCT_PAYABLE_&amp;_ACCRUALS_DETAILED","FQ1 2000","FQ1 2000","Currency=USD","Period=FQ","BEST_FPERIOD_OVERRIDE=FQ","FILING_STATUS=OR","SCALING_FORMAT=MLN","Sort=A","Dates=H","DateFormat=P","Fill=—","Direction=H","UseDPDF=Y")</f>
        <v>25631</v>
      </c>
      <c r="J30" s="13">
        <f>_xll.BDH("XOM US Equity","ACCT_PAYABLE_&amp;_ACCRUALS_DETAILED","FQ2 2000","FQ2 2000","Currency=USD","Period=FQ","BEST_FPERIOD_OVERRIDE=FQ","FILING_STATUS=OR","SCALING_FORMAT=MLN","Sort=A","Dates=H","DateFormat=P","Fill=—","Direction=H","UseDPDF=Y")</f>
        <v>27217</v>
      </c>
      <c r="K30" s="13">
        <f>_xll.BDH("XOM US Equity","ACCT_PAYABLE_&amp;_ACCRUALS_DETAILED","FQ3 2000","FQ3 2000","Currency=USD","Period=FQ","BEST_FPERIOD_OVERRIDE=FQ","FILING_STATUS=OR","SCALING_FORMAT=MLN","Sort=A","Dates=H","DateFormat=P","Fill=—","Direction=H","UseDPDF=Y")</f>
        <v>27646</v>
      </c>
      <c r="L30" s="13">
        <f>_xll.BDH("XOM US Equity","ACCT_PAYABLE_&amp;_ACCRUALS_DETAILED","FQ4 2000","FQ4 2000","Currency=USD","Period=FQ","BEST_FPERIOD_OVERRIDE=FQ","FILING_STATUS=OR","SCALING_FORMAT=MLN","Sort=A","Dates=H","DateFormat=P","Fill=—","Direction=H","UseDPDF=Y")</f>
        <v>15357</v>
      </c>
      <c r="M30" s="13">
        <f>_xll.BDH("XOM US Equity","ACCT_PAYABLE_&amp;_ACCRUALS_DETAILED","FQ1 2001","FQ1 2001","Currency=USD","Period=FQ","BEST_FPERIOD_OVERRIDE=FQ","FILING_STATUS=OR","SCALING_FORMAT=MLN","Sort=A","Dates=H","DateFormat=P","Fill=—","Direction=H","UseDPDF=Y")</f>
        <v>25164</v>
      </c>
      <c r="N30" s="13">
        <f>_xll.BDH("XOM US Equity","ACCT_PAYABLE_&amp;_ACCRUALS_DETAILED","FQ2 2001","FQ2 2001","Currency=USD","Period=FQ","BEST_FPERIOD_OVERRIDE=FQ","FILING_STATUS=OR","SCALING_FORMAT=MLN","Sort=A","Dates=H","DateFormat=P","Fill=—","Direction=H","UseDPDF=Y")</f>
        <v>25307</v>
      </c>
      <c r="O30" s="13">
        <f>_xll.BDH("XOM US Equity","ACCT_PAYABLE_&amp;_ACCRUALS_DETAILED","FQ3 2001","FQ3 2001","Currency=USD","Period=FQ","BEST_FPERIOD_OVERRIDE=FQ","FILING_STATUS=OR","SCALING_FORMAT=MLN","Sort=A","Dates=H","DateFormat=P","Fill=—","Direction=H","UseDPDF=Y")</f>
        <v>24632</v>
      </c>
      <c r="P30" s="13">
        <f>_xll.BDH("XOM US Equity","ACCT_PAYABLE_&amp;_ACCRUALS_DETAILED","FQ4 2001","FQ4 2001","Currency=USD","Period=FQ","BEST_FPERIOD_OVERRIDE=FQ","FILING_STATUS=OR","SCALING_FORMAT=MLN","Sort=A","Dates=H","DateFormat=P","Fill=—","Direction=H","UseDPDF=Y")</f>
        <v>22862</v>
      </c>
      <c r="Q30" s="13">
        <f>_xll.BDH("XOM US Equity","ACCT_PAYABLE_&amp;_ACCRUALS_DETAILED","FQ1 2002","FQ1 2002","Currency=USD","Period=FQ","BEST_FPERIOD_OVERRIDE=FQ","FILING_STATUS=OR","SCALING_FORMAT=MLN","Sort=A","Dates=H","DateFormat=P","Fill=—","Direction=H","UseDPDF=Y")</f>
        <v>23159</v>
      </c>
      <c r="R30" s="13">
        <f>_xll.BDH("XOM US Equity","ACCT_PAYABLE_&amp;_ACCRUALS_DETAILED","FQ2 2002","FQ2 2002","Currency=USD","Period=FQ","BEST_FPERIOD_OVERRIDE=FQ","FILING_STATUS=OR","SCALING_FORMAT=MLN","Sort=A","Dates=H","DateFormat=P","Fill=—","Direction=H","UseDPDF=Y")</f>
        <v>24140</v>
      </c>
      <c r="S30" s="13">
        <f>_xll.BDH("XOM US Equity","ACCT_PAYABLE_&amp;_ACCRUALS_DETAILED","FQ3 2002","FQ3 2002","Currency=USD","Period=FQ","BEST_FPERIOD_OVERRIDE=FQ","FILING_STATUS=OR","SCALING_FORMAT=MLN","Sort=A","Dates=H","DateFormat=P","Fill=—","Direction=H","UseDPDF=Y")</f>
        <v>24394</v>
      </c>
      <c r="T30" s="13">
        <f>_xll.BDH("XOM US Equity","ACCT_PAYABLE_&amp;_ACCRUALS_DETAILED","FQ4 2002","FQ4 2002","Currency=USD","Period=FQ","BEST_FPERIOD_OVERRIDE=FQ","FILING_STATUS=OR","SCALING_FORMAT=MLN","Sort=A","Dates=H","DateFormat=P","Fill=—","Direction=H","UseDPDF=Y")</f>
        <v>13792</v>
      </c>
      <c r="U30" s="13">
        <f>_xll.BDH("XOM US Equity","ACCT_PAYABLE_&amp;_ACCRUALS_DETAILED","FQ1 2003","FQ1 2003","Currency=USD","Period=FQ","BEST_FPERIOD_OVERRIDE=FQ","FILING_STATUS=OR","SCALING_FORMAT=MLN","Sort=A","Dates=H","DateFormat=P","Fill=—","Direction=H","UseDPDF=Y")</f>
        <v>27592</v>
      </c>
      <c r="V30" s="13">
        <f>_xll.BDH("XOM US Equity","ACCT_PAYABLE_&amp;_ACCRUALS_DETAILED","FQ2 2003","FQ2 2003","Currency=USD","Period=FQ","BEST_FPERIOD_OVERRIDE=FQ","FILING_STATUS=OR","SCALING_FORMAT=MLN","Sort=A","Dates=H","DateFormat=P","Fill=—","Direction=H","UseDPDF=Y")</f>
        <v>26530</v>
      </c>
      <c r="W30" s="13">
        <f>_xll.BDH("XOM US Equity","ACCT_PAYABLE_&amp;_ACCRUALS_DETAILED","FQ3 2003","FQ3 2003","Currency=USD","Period=FQ","BEST_FPERIOD_OVERRIDE=FQ","FILING_STATUS=OR","SCALING_FORMAT=MLN","Sort=A","Dates=H","DateFormat=P","Fill=—","Direction=H","UseDPDF=Y")</f>
        <v>27731</v>
      </c>
      <c r="X30" s="13">
        <f>_xll.BDH("XOM US Equity","ACCT_PAYABLE_&amp;_ACCRUALS_DETAILED","FQ4 2003","FQ4 2003","Currency=USD","Period=FQ","BEST_FPERIOD_OVERRIDE=FQ","FILING_STATUS=OR","SCALING_FORMAT=MLN","Sort=A","Dates=H","DateFormat=P","Fill=—","Direction=H","UseDPDF=Y")</f>
        <v>15334</v>
      </c>
      <c r="Y30" s="13">
        <f>_xll.BDH("XOM US Equity","ACCT_PAYABLE_&amp;_ACCRUALS_DETAILED","FQ1 2004","FQ1 2004","Currency=USD","Period=FQ","BEST_FPERIOD_OVERRIDE=FQ","FILING_STATUS=OR","SCALING_FORMAT=MLN","Sort=A","Dates=H","DateFormat=P","Fill=—","Direction=H","UseDPDF=Y")</f>
        <v>30356</v>
      </c>
      <c r="Z30" s="13">
        <f>_xll.BDH("XOM US Equity","ACCT_PAYABLE_&amp;_ACCRUALS_DETAILED","FQ2 2004","FQ2 2004","Currency=USD","Period=FQ","BEST_FPERIOD_OVERRIDE=FQ","FILING_STATUS=OR","SCALING_FORMAT=MLN","Sort=A","Dates=H","DateFormat=P","Fill=—","Direction=H","UseDPDF=Y")</f>
        <v>30184</v>
      </c>
      <c r="AA30" s="13">
        <f>_xll.BDH("XOM US Equity","ACCT_PAYABLE_&amp;_ACCRUALS_DETAILED","FQ3 2004","FQ3 2004","Currency=USD","Period=FQ","BEST_FPERIOD_OVERRIDE=FQ","FILING_STATUS=OR","SCALING_FORMAT=MLN","Sort=A","Dates=H","DateFormat=P","Fill=—","Direction=H","UseDPDF=Y")</f>
        <v>32107</v>
      </c>
      <c r="AB30" s="13">
        <f>_xll.BDH("XOM US Equity","ACCT_PAYABLE_&amp;_ACCRUALS_DETAILED","FQ4 2004","FQ4 2004","Currency=USD","Period=FQ","BEST_FPERIOD_OVERRIDE=FQ","FILING_STATUS=OR","SCALING_FORMAT=MLN","Sort=A","Dates=H","DateFormat=P","Fill=—","Direction=H","UseDPDF=Y")</f>
        <v>18186</v>
      </c>
      <c r="AC30" s="13">
        <f>_xll.BDH("XOM US Equity","ACCT_PAYABLE_&amp;_ACCRUALS_DETAILED","FQ1 2005","FQ1 2005","Currency=USD","Period=FQ","BEST_FPERIOD_OVERRIDE=FQ","FILING_STATUS=OR","SCALING_FORMAT=MLN","Sort=A","Dates=H","DateFormat=P","Fill=—","Direction=H","UseDPDF=Y")</f>
        <v>35489</v>
      </c>
      <c r="AD30" s="13">
        <f>_xll.BDH("XOM US Equity","ACCT_PAYABLE_&amp;_ACCRUALS_DETAILED","FQ2 2005","FQ2 2005","Currency=USD","Period=FQ","BEST_FPERIOD_OVERRIDE=FQ","FILING_STATUS=OR","SCALING_FORMAT=MLN","Sort=A","Dates=H","DateFormat=P","Fill=—","Direction=H","UseDPDF=Y")</f>
        <v>36185</v>
      </c>
      <c r="AE30" s="13">
        <f>_xll.BDH("XOM US Equity","ACCT_PAYABLE_&amp;_ACCRUALS_DETAILED","FQ3 2005","FQ3 2005","Currency=USD","Period=FQ","BEST_FPERIOD_OVERRIDE=FQ","FILING_STATUS=OR","SCALING_FORMAT=MLN","Sort=A","Dates=H","DateFormat=P","Fill=—","Direction=H","UseDPDF=Y")</f>
        <v>39055</v>
      </c>
      <c r="AF30" s="13">
        <f>_xll.BDH("XOM US Equity","ACCT_PAYABLE_&amp;_ACCRUALS_DETAILED","FQ4 2005","FQ4 2005","Currency=USD","Period=FQ","BEST_FPERIOD_OVERRIDE=FQ","FILING_STATUS=OR","SCALING_FORMAT=MLN","Sort=A","Dates=H","DateFormat=P","Fill=—","Direction=H","UseDPDF=Y")</f>
        <v>22788</v>
      </c>
      <c r="AG30" s="13">
        <f>_xll.BDH("XOM US Equity","ACCT_PAYABLE_&amp;_ACCRUALS_DETAILED","FQ1 2006","FQ1 2006","Currency=USD","Period=FQ","BEST_FPERIOD_OVERRIDE=FQ","FILING_STATUS=OR","SCALING_FORMAT=MLN","Sort=A","Dates=H","DateFormat=P","Fill=—","Direction=H","UseDPDF=Y")</f>
        <v>39019</v>
      </c>
      <c r="AH30" s="13">
        <f>_xll.BDH("XOM US Equity","ACCT_PAYABLE_&amp;_ACCRUALS_DETAILED","FQ2 2006","FQ2 2006","Currency=USD","Period=FQ","BEST_FPERIOD_OVERRIDE=FQ","FILING_STATUS=OR","SCALING_FORMAT=MLN","Sort=A","Dates=H","DateFormat=P","Fill=—","Direction=H","UseDPDF=Y")</f>
        <v>39302</v>
      </c>
      <c r="AI30" s="13">
        <f>_xll.BDH("XOM US Equity","ACCT_PAYABLE_&amp;_ACCRUALS_DETAILED","FQ3 2006","FQ3 2006","Currency=USD","Period=FQ","BEST_FPERIOD_OVERRIDE=FQ","FILING_STATUS=OR","SCALING_FORMAT=MLN","Sort=A","Dates=H","DateFormat=P","Fill=—","Direction=H","UseDPDF=Y")</f>
        <v>40225</v>
      </c>
      <c r="AJ30" s="13">
        <f>_xll.BDH("XOM US Equity","ACCT_PAYABLE_&amp;_ACCRUALS_DETAILED","FQ4 2006","FQ4 2006","Currency=USD","Period=FQ","BEST_FPERIOD_OVERRIDE=FQ","FILING_STATUS=OR","SCALING_FORMAT=MLN","Sort=A","Dates=H","DateFormat=P","Fill=—","Direction=H","UseDPDF=Y")</f>
        <v>39082</v>
      </c>
      <c r="AK30" s="13">
        <f>_xll.BDH("XOM US Equity","ACCT_PAYABLE_&amp;_ACCRUALS_DETAILED","FQ1 2007","FQ1 2007","Currency=USD","Period=FQ","BEST_FPERIOD_OVERRIDE=FQ","FILING_STATUS=OR","SCALING_FORMAT=MLN","Sort=A","Dates=H","DateFormat=P","Fill=—","Direction=H","UseDPDF=Y")</f>
        <v>38923</v>
      </c>
      <c r="AL30" s="13">
        <f>_xll.BDH("XOM US Equity","ACCT_PAYABLE_&amp;_ACCRUALS_DETAILED","FQ2 2007","FQ2 2007","Currency=USD","Period=FQ","BEST_FPERIOD_OVERRIDE=FQ","FILING_STATUS=OR","SCALING_FORMAT=MLN","Sort=A","Dates=H","DateFormat=P","Fill=—","Direction=H","UseDPDF=Y")</f>
        <v>41247</v>
      </c>
      <c r="AM30" s="13">
        <f>_xll.BDH("XOM US Equity","ACCT_PAYABLE_&amp;_ACCRUALS_DETAILED","FQ3 2007","FQ3 2007","Currency=USD","Period=FQ","BEST_FPERIOD_OVERRIDE=FQ","FILING_STATUS=OR","SCALING_FORMAT=MLN","Sort=A","Dates=H","DateFormat=P","Fill=—","Direction=H","UseDPDF=Y")</f>
        <v>43525</v>
      </c>
      <c r="AN30" s="13">
        <f>_xll.BDH("XOM US Equity","ACCT_PAYABLE_&amp;_ACCRUALS_DETAILED","FQ4 2007","FQ4 2007","Currency=USD","Period=FQ","BEST_FPERIOD_OVERRIDE=FQ","FILING_STATUS=OR","SCALING_FORMAT=MLN","Sort=A","Dates=H","DateFormat=P","Fill=—","Direction=H","UseDPDF=Y")</f>
        <v>45275</v>
      </c>
      <c r="AO30" s="13">
        <f>_xll.BDH("XOM US Equity","ACCT_PAYABLE_&amp;_ACCRUALS_DETAILED","FQ1 2008","FQ1 2008","Currency=USD","Period=FQ","BEST_FPERIOD_OVERRIDE=FQ","FILING_STATUS=OR","SCALING_FORMAT=MLN","Sort=A","Dates=H","DateFormat=P","Fill=—","Direction=H","UseDPDF=Y")</f>
        <v>53613</v>
      </c>
      <c r="AP30" s="13">
        <f>_xll.BDH("XOM US Equity","ACCT_PAYABLE_&amp;_ACCRUALS_DETAILED","FQ2 2008","FQ2 2008","Currency=USD","Period=FQ","BEST_FPERIOD_OVERRIDE=FQ","FILING_STATUS=OR","SCALING_FORMAT=MLN","Sort=A","Dates=H","DateFormat=P","Fill=—","Direction=H","UseDPDF=Y")</f>
        <v>60262</v>
      </c>
    </row>
    <row r="31" spans="1:42" x14ac:dyDescent="0.25">
      <c r="A31" s="10" t="s">
        <v>221</v>
      </c>
      <c r="B31" s="10" t="s">
        <v>222</v>
      </c>
      <c r="C31" s="13">
        <f>_xll.BDH("XOM US Equity","BS_ACCT_PAYABLE","FQ3 1998","FQ3 1998","Currency=USD","Period=FQ","BEST_FPERIOD_OVERRIDE=FQ","FILING_STATUS=OR","SCALING_FORMAT=MLN","Sort=A","Dates=H","DateFormat=P","Fill=—","Direction=H","UseDPDF=Y")</f>
        <v>14269</v>
      </c>
      <c r="D31" s="13">
        <f>_xll.BDH("XOM US Equity","BS_ACCT_PAYABLE","FQ4 1998","FQ4 1998","Currency=USD","Period=FQ","BEST_FPERIOD_OVERRIDE=FQ","FILING_STATUS=OR","SCALING_FORMAT=MLN","Sort=A","Dates=H","DateFormat=P","Fill=—","Direction=H","UseDPDF=Y")</f>
        <v>7369</v>
      </c>
      <c r="E31" s="13">
        <f>_xll.BDH("XOM US Equity","BS_ACCT_PAYABLE","FQ1 1999","FQ1 1999","Currency=USD","Period=FQ","BEST_FPERIOD_OVERRIDE=FQ","FILING_STATUS=OR","SCALING_FORMAT=MLN","Sort=A","Dates=H","DateFormat=P","Fill=—","Direction=H","UseDPDF=Y")</f>
        <v>13670</v>
      </c>
      <c r="F31" s="13">
        <f>_xll.BDH("XOM US Equity","BS_ACCT_PAYABLE","FQ2 1999","FQ2 1999","Currency=USD","Period=FQ","BEST_FPERIOD_OVERRIDE=FQ","FILING_STATUS=OR","SCALING_FORMAT=MLN","Sort=A","Dates=H","DateFormat=P","Fill=—","Direction=H","UseDPDF=Y")</f>
        <v>13734</v>
      </c>
      <c r="G31" s="13">
        <f>_xll.BDH("XOM US Equity","BS_ACCT_PAYABLE","FQ3 1999","FQ3 1999","Currency=USD","Period=FQ","BEST_FPERIOD_OVERRIDE=FQ","FILING_STATUS=OR","SCALING_FORMAT=MLN","Sort=A","Dates=H","DateFormat=P","Fill=—","Direction=H","UseDPDF=Y")</f>
        <v>15410</v>
      </c>
      <c r="H31" s="13">
        <f>_xll.BDH("XOM US Equity","BS_ACCT_PAYABLE","FQ4 1999","FQ4 1999","Currency=USD","Period=FQ","BEST_FPERIOD_OVERRIDE=FQ","FILING_STATUS=OR","SCALING_FORMAT=MLN","Sort=A","Dates=H","DateFormat=P","Fill=—","Direction=H","UseDPDF=Y")</f>
        <v>13524</v>
      </c>
      <c r="I31" s="13">
        <f>_xll.BDH("XOM US Equity","BS_ACCT_PAYABLE","FQ1 2000","FQ1 2000","Currency=USD","Period=FQ","BEST_FPERIOD_OVERRIDE=FQ","FILING_STATUS=OR","SCALING_FORMAT=MLN","Sort=A","Dates=H","DateFormat=P","Fill=—","Direction=H","UseDPDF=Y")</f>
        <v>25631</v>
      </c>
      <c r="J31" s="13">
        <f>_xll.BDH("XOM US Equity","BS_ACCT_PAYABLE","FQ2 2000","FQ2 2000","Currency=USD","Period=FQ","BEST_FPERIOD_OVERRIDE=FQ","FILING_STATUS=OR","SCALING_FORMAT=MLN","Sort=A","Dates=H","DateFormat=P","Fill=—","Direction=H","UseDPDF=Y")</f>
        <v>27217</v>
      </c>
      <c r="K31" s="13">
        <f>_xll.BDH("XOM US Equity","BS_ACCT_PAYABLE","FQ3 2000","FQ3 2000","Currency=USD","Period=FQ","BEST_FPERIOD_OVERRIDE=FQ","FILING_STATUS=OR","SCALING_FORMAT=MLN","Sort=A","Dates=H","DateFormat=P","Fill=—","Direction=H","UseDPDF=Y")</f>
        <v>27646</v>
      </c>
      <c r="L31" s="13">
        <f>_xll.BDH("XOM US Equity","BS_ACCT_PAYABLE","FQ4 2000","FQ4 2000","Currency=USD","Period=FQ","BEST_FPERIOD_OVERRIDE=FQ","FILING_STATUS=OR","SCALING_FORMAT=MLN","Sort=A","Dates=H","DateFormat=P","Fill=—","Direction=H","UseDPDF=Y")</f>
        <v>15357</v>
      </c>
      <c r="M31" s="13">
        <f>_xll.BDH("XOM US Equity","BS_ACCT_PAYABLE","FQ1 2001","FQ1 2001","Currency=USD","Period=FQ","BEST_FPERIOD_OVERRIDE=FQ","FILING_STATUS=OR","SCALING_FORMAT=MLN","Sort=A","Dates=H","DateFormat=P","Fill=—","Direction=H","UseDPDF=Y")</f>
        <v>25164</v>
      </c>
      <c r="N31" s="13">
        <f>_xll.BDH("XOM US Equity","BS_ACCT_PAYABLE","FQ2 2001","FQ2 2001","Currency=USD","Period=FQ","BEST_FPERIOD_OVERRIDE=FQ","FILING_STATUS=OR","SCALING_FORMAT=MLN","Sort=A","Dates=H","DateFormat=P","Fill=—","Direction=H","UseDPDF=Y")</f>
        <v>25307</v>
      </c>
      <c r="O31" s="13">
        <f>_xll.BDH("XOM US Equity","BS_ACCT_PAYABLE","FQ3 2001","FQ3 2001","Currency=USD","Period=FQ","BEST_FPERIOD_OVERRIDE=FQ","FILING_STATUS=OR","SCALING_FORMAT=MLN","Sort=A","Dates=H","DateFormat=P","Fill=—","Direction=H","UseDPDF=Y")</f>
        <v>24632</v>
      </c>
      <c r="P31" s="13">
        <f>_xll.BDH("XOM US Equity","BS_ACCT_PAYABLE","FQ4 2001","FQ4 2001","Currency=USD","Period=FQ","BEST_FPERIOD_OVERRIDE=FQ","FILING_STATUS=OR","SCALING_FORMAT=MLN","Sort=A","Dates=H","DateFormat=P","Fill=—","Direction=H","UseDPDF=Y")</f>
        <v>22862</v>
      </c>
      <c r="Q31" s="13">
        <f>_xll.BDH("XOM US Equity","BS_ACCT_PAYABLE","FQ1 2002","FQ1 2002","Currency=USD","Period=FQ","BEST_FPERIOD_OVERRIDE=FQ","FILING_STATUS=OR","SCALING_FORMAT=MLN","Sort=A","Dates=H","DateFormat=P","Fill=—","Direction=H","UseDPDF=Y")</f>
        <v>23159</v>
      </c>
      <c r="R31" s="13">
        <f>_xll.BDH("XOM US Equity","BS_ACCT_PAYABLE","FQ2 2002","FQ2 2002","Currency=USD","Period=FQ","BEST_FPERIOD_OVERRIDE=FQ","FILING_STATUS=OR","SCALING_FORMAT=MLN","Sort=A","Dates=H","DateFormat=P","Fill=—","Direction=H","UseDPDF=Y")</f>
        <v>24140</v>
      </c>
      <c r="S31" s="13">
        <f>_xll.BDH("XOM US Equity","BS_ACCT_PAYABLE","FQ3 2002","FQ3 2002","Currency=USD","Period=FQ","BEST_FPERIOD_OVERRIDE=FQ","FILING_STATUS=OR","SCALING_FORMAT=MLN","Sort=A","Dates=H","DateFormat=P","Fill=—","Direction=H","UseDPDF=Y")</f>
        <v>24394</v>
      </c>
      <c r="T31" s="13">
        <f>_xll.BDH("XOM US Equity","BS_ACCT_PAYABLE","FQ4 2002","FQ4 2002","Currency=USD","Period=FQ","BEST_FPERIOD_OVERRIDE=FQ","FILING_STATUS=OR","SCALING_FORMAT=MLN","Sort=A","Dates=H","DateFormat=P","Fill=—","Direction=H","UseDPDF=Y")</f>
        <v>13792</v>
      </c>
      <c r="U31" s="13">
        <f>_xll.BDH("XOM US Equity","BS_ACCT_PAYABLE","FQ1 2003","FQ1 2003","Currency=USD","Period=FQ","BEST_FPERIOD_OVERRIDE=FQ","FILING_STATUS=OR","SCALING_FORMAT=MLN","Sort=A","Dates=H","DateFormat=P","Fill=—","Direction=H","UseDPDF=Y")</f>
        <v>27592</v>
      </c>
      <c r="V31" s="13">
        <f>_xll.BDH("XOM US Equity","BS_ACCT_PAYABLE","FQ2 2003","FQ2 2003","Currency=USD","Period=FQ","BEST_FPERIOD_OVERRIDE=FQ","FILING_STATUS=OR","SCALING_FORMAT=MLN","Sort=A","Dates=H","DateFormat=P","Fill=—","Direction=H","UseDPDF=Y")</f>
        <v>26530</v>
      </c>
      <c r="W31" s="13">
        <f>_xll.BDH("XOM US Equity","BS_ACCT_PAYABLE","FQ3 2003","FQ3 2003","Currency=USD","Period=FQ","BEST_FPERIOD_OVERRIDE=FQ","FILING_STATUS=OR","SCALING_FORMAT=MLN","Sort=A","Dates=H","DateFormat=P","Fill=—","Direction=H","UseDPDF=Y")</f>
        <v>27731</v>
      </c>
      <c r="X31" s="13">
        <f>_xll.BDH("XOM US Equity","BS_ACCT_PAYABLE","FQ4 2003","FQ4 2003","Currency=USD","Period=FQ","BEST_FPERIOD_OVERRIDE=FQ","FILING_STATUS=OR","SCALING_FORMAT=MLN","Sort=A","Dates=H","DateFormat=P","Fill=—","Direction=H","UseDPDF=Y")</f>
        <v>15334</v>
      </c>
      <c r="Y31" s="13">
        <f>_xll.BDH("XOM US Equity","BS_ACCT_PAYABLE","FQ1 2004","FQ1 2004","Currency=USD","Period=FQ","BEST_FPERIOD_OVERRIDE=FQ","FILING_STATUS=OR","SCALING_FORMAT=MLN","Sort=A","Dates=H","DateFormat=P","Fill=—","Direction=H","UseDPDF=Y")</f>
        <v>30356</v>
      </c>
      <c r="Z31" s="13">
        <f>_xll.BDH("XOM US Equity","BS_ACCT_PAYABLE","FQ2 2004","FQ2 2004","Currency=USD","Period=FQ","BEST_FPERIOD_OVERRIDE=FQ","FILING_STATUS=OR","SCALING_FORMAT=MLN","Sort=A","Dates=H","DateFormat=P","Fill=—","Direction=H","UseDPDF=Y")</f>
        <v>30184</v>
      </c>
      <c r="AA31" s="13">
        <f>_xll.BDH("XOM US Equity","BS_ACCT_PAYABLE","FQ3 2004","FQ3 2004","Currency=USD","Period=FQ","BEST_FPERIOD_OVERRIDE=FQ","FILING_STATUS=OR","SCALING_FORMAT=MLN","Sort=A","Dates=H","DateFormat=P","Fill=—","Direction=H","UseDPDF=Y")</f>
        <v>32107</v>
      </c>
      <c r="AB31" s="13">
        <f>_xll.BDH("XOM US Equity","BS_ACCT_PAYABLE","FQ4 2004","FQ4 2004","Currency=USD","Period=FQ","BEST_FPERIOD_OVERRIDE=FQ","FILING_STATUS=OR","SCALING_FORMAT=MLN","Sort=A","Dates=H","DateFormat=P","Fill=—","Direction=H","UseDPDF=Y")</f>
        <v>18186</v>
      </c>
      <c r="AC31" s="13">
        <f>_xll.BDH("XOM US Equity","BS_ACCT_PAYABLE","FQ1 2005","FQ1 2005","Currency=USD","Period=FQ","BEST_FPERIOD_OVERRIDE=FQ","FILING_STATUS=OR","SCALING_FORMAT=MLN","Sort=A","Dates=H","DateFormat=P","Fill=—","Direction=H","UseDPDF=Y")</f>
        <v>35489</v>
      </c>
      <c r="AD31" s="13">
        <f>_xll.BDH("XOM US Equity","BS_ACCT_PAYABLE","FQ2 2005","FQ2 2005","Currency=USD","Period=FQ","BEST_FPERIOD_OVERRIDE=FQ","FILING_STATUS=OR","SCALING_FORMAT=MLN","Sort=A","Dates=H","DateFormat=P","Fill=—","Direction=H","UseDPDF=Y")</f>
        <v>36185</v>
      </c>
      <c r="AE31" s="13">
        <f>_xll.BDH("XOM US Equity","BS_ACCT_PAYABLE","FQ3 2005","FQ3 2005","Currency=USD","Period=FQ","BEST_FPERIOD_OVERRIDE=FQ","FILING_STATUS=OR","SCALING_FORMAT=MLN","Sort=A","Dates=H","DateFormat=P","Fill=—","Direction=H","UseDPDF=Y")</f>
        <v>39055</v>
      </c>
      <c r="AF31" s="13">
        <f>_xll.BDH("XOM US Equity","BS_ACCT_PAYABLE","FQ4 2005","FQ4 2005","Currency=USD","Period=FQ","BEST_FPERIOD_OVERRIDE=FQ","FILING_STATUS=OR","SCALING_FORMAT=MLN","Sort=A","Dates=H","DateFormat=P","Fill=—","Direction=H","UseDPDF=Y")</f>
        <v>22788</v>
      </c>
      <c r="AG31" s="13">
        <f>_xll.BDH("XOM US Equity","BS_ACCT_PAYABLE","FQ1 2006","FQ1 2006","Currency=USD","Period=FQ","BEST_FPERIOD_OVERRIDE=FQ","FILING_STATUS=OR","SCALING_FORMAT=MLN","Sort=A","Dates=H","DateFormat=P","Fill=—","Direction=H","UseDPDF=Y")</f>
        <v>39019</v>
      </c>
      <c r="AH31" s="13">
        <f>_xll.BDH("XOM US Equity","BS_ACCT_PAYABLE","FQ2 2006","FQ2 2006","Currency=USD","Period=FQ","BEST_FPERIOD_OVERRIDE=FQ","FILING_STATUS=OR","SCALING_FORMAT=MLN","Sort=A","Dates=H","DateFormat=P","Fill=—","Direction=H","UseDPDF=Y")</f>
        <v>39302</v>
      </c>
      <c r="AI31" s="13">
        <f>_xll.BDH("XOM US Equity","BS_ACCT_PAYABLE","FQ3 2006","FQ3 2006","Currency=USD","Period=FQ","BEST_FPERIOD_OVERRIDE=FQ","FILING_STATUS=OR","SCALING_FORMAT=MLN","Sort=A","Dates=H","DateFormat=P","Fill=—","Direction=H","UseDPDF=Y")</f>
        <v>40225</v>
      </c>
      <c r="AJ31" s="13">
        <f>_xll.BDH("XOM US Equity","BS_ACCT_PAYABLE","FQ4 2006","FQ4 2006","Currency=USD","Period=FQ","BEST_FPERIOD_OVERRIDE=FQ","FILING_STATUS=OR","SCALING_FORMAT=MLN","Sort=A","Dates=H","DateFormat=P","Fill=—","Direction=H","UseDPDF=Y")</f>
        <v>39082</v>
      </c>
      <c r="AK31" s="13">
        <f>_xll.BDH("XOM US Equity","BS_ACCT_PAYABLE","FQ1 2007","FQ1 2007","Currency=USD","Period=FQ","BEST_FPERIOD_OVERRIDE=FQ","FILING_STATUS=OR","SCALING_FORMAT=MLN","Sort=A","Dates=H","DateFormat=P","Fill=—","Direction=H","UseDPDF=Y")</f>
        <v>38923</v>
      </c>
      <c r="AL31" s="13">
        <f>_xll.BDH("XOM US Equity","BS_ACCT_PAYABLE","FQ2 2007","FQ2 2007","Currency=USD","Period=FQ","BEST_FPERIOD_OVERRIDE=FQ","FILING_STATUS=OR","SCALING_FORMAT=MLN","Sort=A","Dates=H","DateFormat=P","Fill=—","Direction=H","UseDPDF=Y")</f>
        <v>41247</v>
      </c>
      <c r="AM31" s="13">
        <f>_xll.BDH("XOM US Equity","BS_ACCT_PAYABLE","FQ3 2007","FQ3 2007","Currency=USD","Period=FQ","BEST_FPERIOD_OVERRIDE=FQ","FILING_STATUS=OR","SCALING_FORMAT=MLN","Sort=A","Dates=H","DateFormat=P","Fill=—","Direction=H","UseDPDF=Y")</f>
        <v>43525</v>
      </c>
      <c r="AN31" s="13">
        <f>_xll.BDH("XOM US Equity","BS_ACCT_PAYABLE","FQ4 2007","FQ4 2007","Currency=USD","Period=FQ","BEST_FPERIOD_OVERRIDE=FQ","FILING_STATUS=OR","SCALING_FORMAT=MLN","Sort=A","Dates=H","DateFormat=P","Fill=—","Direction=H","UseDPDF=Y")</f>
        <v>45275</v>
      </c>
      <c r="AO31" s="13">
        <f>_xll.BDH("XOM US Equity","BS_ACCT_PAYABLE","FQ1 2008","FQ1 2008","Currency=USD","Period=FQ","BEST_FPERIOD_OVERRIDE=FQ","FILING_STATUS=OR","SCALING_FORMAT=MLN","Sort=A","Dates=H","DateFormat=P","Fill=—","Direction=H","UseDPDF=Y")</f>
        <v>53613</v>
      </c>
      <c r="AP31" s="13">
        <f>_xll.BDH("XOM US Equity","BS_ACCT_PAYABLE","FQ2 2008","FQ2 2008","Currency=USD","Period=FQ","BEST_FPERIOD_OVERRIDE=FQ","FILING_STATUS=OR","SCALING_FORMAT=MLN","Sort=A","Dates=H","DateFormat=P","Fill=—","Direction=H","UseDPDF=Y")</f>
        <v>60262</v>
      </c>
    </row>
    <row r="32" spans="1:42" x14ac:dyDescent="0.25">
      <c r="A32" s="10" t="s">
        <v>223</v>
      </c>
      <c r="B32" s="10" t="s">
        <v>224</v>
      </c>
      <c r="C32" s="13">
        <f>_xll.BDH("XOM US Equity","BS_ST_BORROW","FQ3 1998","FQ3 1998","Currency=USD","Period=FQ","BEST_FPERIOD_OVERRIDE=FQ","FILING_STATUS=OR","SCALING_FORMAT=MLN","Sort=A","Dates=H","DateFormat=P","Fill=—","Direction=H","UseDPDF=Y")</f>
        <v>2639</v>
      </c>
      <c r="D32" s="13">
        <f>_xll.BDH("XOM US Equity","BS_ST_BORROW","FQ4 1998","FQ4 1998","Currency=USD","Period=FQ","BEST_FPERIOD_OVERRIDE=FQ","FILING_STATUS=OR","SCALING_FORMAT=MLN","Sort=A","Dates=H","DateFormat=P","Fill=—","Direction=H","UseDPDF=Y")</f>
        <v>4248</v>
      </c>
      <c r="E32" s="13">
        <f>_xll.BDH("XOM US Equity","BS_ST_BORROW","FQ1 1999","FQ1 1999","Currency=USD","Period=FQ","BEST_FPERIOD_OVERRIDE=FQ","FILING_STATUS=OR","SCALING_FORMAT=MLN","Sort=A","Dates=H","DateFormat=P","Fill=—","Direction=H","UseDPDF=Y")</f>
        <v>3837</v>
      </c>
      <c r="F32" s="13">
        <f>_xll.BDH("XOM US Equity","BS_ST_BORROW","FQ2 1999","FQ2 1999","Currency=USD","Period=FQ","BEST_FPERIOD_OVERRIDE=FQ","FILING_STATUS=OR","SCALING_FORMAT=MLN","Sort=A","Dates=H","DateFormat=P","Fill=—","Direction=H","UseDPDF=Y")</f>
        <v>4770</v>
      </c>
      <c r="G32" s="13">
        <f>_xll.BDH("XOM US Equity","BS_ST_BORROW","FQ3 1999","FQ3 1999","Currency=USD","Period=FQ","BEST_FPERIOD_OVERRIDE=FQ","FILING_STATUS=OR","SCALING_FORMAT=MLN","Sort=A","Dates=H","DateFormat=P","Fill=—","Direction=H","UseDPDF=Y")</f>
        <v>4820</v>
      </c>
      <c r="H32" s="13">
        <f>_xll.BDH("XOM US Equity","BS_ST_BORROW","FQ4 1999","FQ4 1999","Currency=USD","Period=FQ","BEST_FPERIOD_OVERRIDE=FQ","FILING_STATUS=OR","SCALING_FORMAT=MLN","Sort=A","Dates=H","DateFormat=P","Fill=—","Direction=H","UseDPDF=Y")</f>
        <v>10570</v>
      </c>
      <c r="I32" s="13">
        <f>_xll.BDH("XOM US Equity","BS_ST_BORROW","FQ1 2000","FQ1 2000","Currency=USD","Period=FQ","BEST_FPERIOD_OVERRIDE=FQ","FILING_STATUS=OR","SCALING_FORMAT=MLN","Sort=A","Dates=H","DateFormat=P","Fill=—","Direction=H","UseDPDF=Y")</f>
        <v>7370</v>
      </c>
      <c r="J32" s="13">
        <f>_xll.BDH("XOM US Equity","BS_ST_BORROW","FQ2 2000","FQ2 2000","Currency=USD","Period=FQ","BEST_FPERIOD_OVERRIDE=FQ","FILING_STATUS=OR","SCALING_FORMAT=MLN","Sort=A","Dates=H","DateFormat=P","Fill=—","Direction=H","UseDPDF=Y")</f>
        <v>6617</v>
      </c>
      <c r="K32" s="13">
        <f>_xll.BDH("XOM US Equity","BS_ST_BORROW","FQ3 2000","FQ3 2000","Currency=USD","Period=FQ","BEST_FPERIOD_OVERRIDE=FQ","FILING_STATUS=OR","SCALING_FORMAT=MLN","Sort=A","Dates=H","DateFormat=P","Fill=—","Direction=H","UseDPDF=Y")</f>
        <v>6713</v>
      </c>
      <c r="L32" s="13">
        <f>_xll.BDH("XOM US Equity","BS_ST_BORROW","FQ4 2000","FQ4 2000","Currency=USD","Period=FQ","BEST_FPERIOD_OVERRIDE=FQ","FILING_STATUS=OR","SCALING_FORMAT=MLN","Sort=A","Dates=H","DateFormat=P","Fill=—","Direction=H","UseDPDF=Y")</f>
        <v>6161</v>
      </c>
      <c r="M32" s="13">
        <f>_xll.BDH("XOM US Equity","BS_ST_BORROW","FQ1 2001","FQ1 2001","Currency=USD","Period=FQ","BEST_FPERIOD_OVERRIDE=FQ","FILING_STATUS=OR","SCALING_FORMAT=MLN","Sort=A","Dates=H","DateFormat=P","Fill=—","Direction=H","UseDPDF=Y")</f>
        <v>5560</v>
      </c>
      <c r="N32" s="13">
        <f>_xll.BDH("XOM US Equity","BS_ST_BORROW","FQ2 2001","FQ2 2001","Currency=USD","Period=FQ","BEST_FPERIOD_OVERRIDE=FQ","FILING_STATUS=OR","SCALING_FORMAT=MLN","Sort=A","Dates=H","DateFormat=P","Fill=—","Direction=H","UseDPDF=Y")</f>
        <v>3890</v>
      </c>
      <c r="O32" s="13">
        <f>_xll.BDH("XOM US Equity","BS_ST_BORROW","FQ3 2001","FQ3 2001","Currency=USD","Period=FQ","BEST_FPERIOD_OVERRIDE=FQ","FILING_STATUS=OR","SCALING_FORMAT=MLN","Sort=A","Dates=H","DateFormat=P","Fill=—","Direction=H","UseDPDF=Y")</f>
        <v>3893</v>
      </c>
      <c r="P32" s="13">
        <f>_xll.BDH("XOM US Equity","BS_ST_BORROW","FQ4 2001","FQ4 2001","Currency=USD","Period=FQ","BEST_FPERIOD_OVERRIDE=FQ","FILING_STATUS=OR","SCALING_FORMAT=MLN","Sort=A","Dates=H","DateFormat=P","Fill=—","Direction=H","UseDPDF=Y")</f>
        <v>3703</v>
      </c>
      <c r="Q32" s="13">
        <f>_xll.BDH("XOM US Equity","BS_ST_BORROW","FQ1 2002","FQ1 2002","Currency=USD","Period=FQ","BEST_FPERIOD_OVERRIDE=FQ","FILING_STATUS=OR","SCALING_FORMAT=MLN","Sort=A","Dates=H","DateFormat=P","Fill=—","Direction=H","UseDPDF=Y")</f>
        <v>3395</v>
      </c>
      <c r="R32" s="13">
        <f>_xll.BDH("XOM US Equity","BS_ST_BORROW","FQ2 2002","FQ2 2002","Currency=USD","Period=FQ","BEST_FPERIOD_OVERRIDE=FQ","FILING_STATUS=OR","SCALING_FORMAT=MLN","Sort=A","Dates=H","DateFormat=P","Fill=—","Direction=H","UseDPDF=Y")</f>
        <v>3702</v>
      </c>
      <c r="S32" s="13">
        <f>_xll.BDH("XOM US Equity","BS_ST_BORROW","FQ3 2002","FQ3 2002","Currency=USD","Period=FQ","BEST_FPERIOD_OVERRIDE=FQ","FILING_STATUS=OR","SCALING_FORMAT=MLN","Sort=A","Dates=H","DateFormat=P","Fill=—","Direction=H","UseDPDF=Y")</f>
        <v>3773</v>
      </c>
      <c r="T32" s="13">
        <f>_xll.BDH("XOM US Equity","BS_ST_BORROW","FQ4 2002","FQ4 2002","Currency=USD","Period=FQ","BEST_FPERIOD_OVERRIDE=FQ","FILING_STATUS=OR","SCALING_FORMAT=MLN","Sort=A","Dates=H","DateFormat=P","Fill=—","Direction=H","UseDPDF=Y")</f>
        <v>4093</v>
      </c>
      <c r="U32" s="13">
        <f>_xll.BDH("XOM US Equity","BS_ST_BORROW","FQ1 2003","FQ1 2003","Currency=USD","Period=FQ","BEST_FPERIOD_OVERRIDE=FQ","FILING_STATUS=OR","SCALING_FORMAT=MLN","Sort=A","Dates=H","DateFormat=P","Fill=—","Direction=H","UseDPDF=Y")</f>
        <v>4172</v>
      </c>
      <c r="V32" s="13">
        <f>_xll.BDH("XOM US Equity","BS_ST_BORROW","FQ2 2003","FQ2 2003","Currency=USD","Period=FQ","BEST_FPERIOD_OVERRIDE=FQ","FILING_STATUS=OR","SCALING_FORMAT=MLN","Sort=A","Dates=H","DateFormat=P","Fill=—","Direction=H","UseDPDF=Y")</f>
        <v>4327</v>
      </c>
      <c r="W32" s="13">
        <f>_xll.BDH("XOM US Equity","BS_ST_BORROW","FQ3 2003","FQ3 2003","Currency=USD","Period=FQ","BEST_FPERIOD_OVERRIDE=FQ","FILING_STATUS=OR","SCALING_FORMAT=MLN","Sort=A","Dates=H","DateFormat=P","Fill=—","Direction=H","UseDPDF=Y")</f>
        <v>4004</v>
      </c>
      <c r="X32" s="13">
        <f>_xll.BDH("XOM US Equity","BS_ST_BORROW","FQ4 2003","FQ4 2003","Currency=USD","Period=FQ","BEST_FPERIOD_OVERRIDE=FQ","FILING_STATUS=OR","SCALING_FORMAT=MLN","Sort=A","Dates=H","DateFormat=P","Fill=—","Direction=H","UseDPDF=Y")</f>
        <v>4789</v>
      </c>
      <c r="Y32" s="13">
        <f>_xll.BDH("XOM US Equity","BS_ST_BORROW","FQ1 2004","FQ1 2004","Currency=USD","Period=FQ","BEST_FPERIOD_OVERRIDE=FQ","FILING_STATUS=OR","SCALING_FORMAT=MLN","Sort=A","Dates=H","DateFormat=P","Fill=—","Direction=H","UseDPDF=Y")</f>
        <v>4834</v>
      </c>
      <c r="Z32" s="13">
        <f>_xll.BDH("XOM US Equity","BS_ST_BORROW","FQ2 2004","FQ2 2004","Currency=USD","Period=FQ","BEST_FPERIOD_OVERRIDE=FQ","FILING_STATUS=OR","SCALING_FORMAT=MLN","Sort=A","Dates=H","DateFormat=P","Fill=—","Direction=H","UseDPDF=Y")</f>
        <v>4746</v>
      </c>
      <c r="AA32" s="13">
        <f>_xll.BDH("XOM US Equity","BS_ST_BORROW","FQ3 2004","FQ3 2004","Currency=USD","Period=FQ","BEST_FPERIOD_OVERRIDE=FQ","FILING_STATUS=OR","SCALING_FORMAT=MLN","Sort=A","Dates=H","DateFormat=P","Fill=—","Direction=H","UseDPDF=Y")</f>
        <v>4913</v>
      </c>
      <c r="AB32" s="13">
        <f>_xll.BDH("XOM US Equity","BS_ST_BORROW","FQ4 2004","FQ4 2004","Currency=USD","Period=FQ","BEST_FPERIOD_OVERRIDE=FQ","FILING_STATUS=OR","SCALING_FORMAT=MLN","Sort=A","Dates=H","DateFormat=P","Fill=—","Direction=H","UseDPDF=Y")</f>
        <v>3280</v>
      </c>
      <c r="AC32" s="13">
        <f>_xll.BDH("XOM US Equity","BS_ST_BORROW","FQ1 2005","FQ1 2005","Currency=USD","Period=FQ","BEST_FPERIOD_OVERRIDE=FQ","FILING_STATUS=OR","SCALING_FORMAT=MLN","Sort=A","Dates=H","DateFormat=P","Fill=—","Direction=H","UseDPDF=Y")</f>
        <v>3309</v>
      </c>
      <c r="AD32" s="13">
        <f>_xll.BDH("XOM US Equity","BS_ST_BORROW","FQ2 2005","FQ2 2005","Currency=USD","Period=FQ","BEST_FPERIOD_OVERRIDE=FQ","FILING_STATUS=OR","SCALING_FORMAT=MLN","Sort=A","Dates=H","DateFormat=P","Fill=—","Direction=H","UseDPDF=Y")</f>
        <v>3015</v>
      </c>
      <c r="AE32" s="13">
        <f>_xll.BDH("XOM US Equity","BS_ST_BORROW","FQ3 2005","FQ3 2005","Currency=USD","Period=FQ","BEST_FPERIOD_OVERRIDE=FQ","FILING_STATUS=OR","SCALING_FORMAT=MLN","Sort=A","Dates=H","DateFormat=P","Fill=—","Direction=H","UseDPDF=Y")</f>
        <v>2331</v>
      </c>
      <c r="AF32" s="13">
        <f>_xll.BDH("XOM US Equity","BS_ST_BORROW","FQ4 2005","FQ4 2005","Currency=USD","Period=FQ","BEST_FPERIOD_OVERRIDE=FQ","FILING_STATUS=OR","SCALING_FORMAT=MLN","Sort=A","Dates=H","DateFormat=P","Fill=—","Direction=H","UseDPDF=Y")</f>
        <v>1771</v>
      </c>
      <c r="AG32" s="13">
        <f>_xll.BDH("XOM US Equity","BS_ST_BORROW","FQ1 2006","FQ1 2006","Currency=USD","Period=FQ","BEST_FPERIOD_OVERRIDE=FQ","FILING_STATUS=OR","SCALING_FORMAT=MLN","Sort=A","Dates=H","DateFormat=P","Fill=—","Direction=H","UseDPDF=Y")</f>
        <v>1739</v>
      </c>
      <c r="AH32" s="13">
        <f>_xll.BDH("XOM US Equity","BS_ST_BORROW","FQ2 2006","FQ2 2006","Currency=USD","Period=FQ","BEST_FPERIOD_OVERRIDE=FQ","FILING_STATUS=OR","SCALING_FORMAT=MLN","Sort=A","Dates=H","DateFormat=P","Fill=—","Direction=H","UseDPDF=Y")</f>
        <v>1964</v>
      </c>
      <c r="AI32" s="13">
        <f>_xll.BDH("XOM US Equity","BS_ST_BORROW","FQ3 2006","FQ3 2006","Currency=USD","Period=FQ","BEST_FPERIOD_OVERRIDE=FQ","FILING_STATUS=OR","SCALING_FORMAT=MLN","Sort=A","Dates=H","DateFormat=P","Fill=—","Direction=H","UseDPDF=Y")</f>
        <v>2125</v>
      </c>
      <c r="AJ32" s="13">
        <f>_xll.BDH("XOM US Equity","BS_ST_BORROW","FQ4 2006","FQ4 2006","Currency=USD","Period=FQ","BEST_FPERIOD_OVERRIDE=FQ","FILING_STATUS=OR","SCALING_FORMAT=MLN","Sort=A","Dates=H","DateFormat=P","Fill=—","Direction=H","UseDPDF=Y")</f>
        <v>1702</v>
      </c>
      <c r="AK32" s="13">
        <f>_xll.BDH("XOM US Equity","BS_ST_BORROW","FQ1 2007","FQ1 2007","Currency=USD","Period=FQ","BEST_FPERIOD_OVERRIDE=FQ","FILING_STATUS=OR","SCALING_FORMAT=MLN","Sort=A","Dates=H","DateFormat=P","Fill=—","Direction=H","UseDPDF=Y")</f>
        <v>2006</v>
      </c>
      <c r="AL32" s="13">
        <f>_xll.BDH("XOM US Equity","BS_ST_BORROW","FQ2 2007","FQ2 2007","Currency=USD","Period=FQ","BEST_FPERIOD_OVERRIDE=FQ","FILING_STATUS=OR","SCALING_FORMAT=MLN","Sort=A","Dates=H","DateFormat=P","Fill=—","Direction=H","UseDPDF=Y")</f>
        <v>2033</v>
      </c>
      <c r="AM32" s="13">
        <f>_xll.BDH("XOM US Equity","BS_ST_BORROW","FQ3 2007","FQ3 2007","Currency=USD","Period=FQ","BEST_FPERIOD_OVERRIDE=FQ","FILING_STATUS=OR","SCALING_FORMAT=MLN","Sort=A","Dates=H","DateFormat=P","Fill=—","Direction=H","UseDPDF=Y")</f>
        <v>2095</v>
      </c>
      <c r="AN32" s="13">
        <f>_xll.BDH("XOM US Equity","BS_ST_BORROW","FQ4 2007","FQ4 2007","Currency=USD","Period=FQ","BEST_FPERIOD_OVERRIDE=FQ","FILING_STATUS=OR","SCALING_FORMAT=MLN","Sort=A","Dates=H","DateFormat=P","Fill=—","Direction=H","UseDPDF=Y")</f>
        <v>2383</v>
      </c>
      <c r="AO32" s="13">
        <f>_xll.BDH("XOM US Equity","BS_ST_BORROW","FQ1 2008","FQ1 2008","Currency=USD","Period=FQ","BEST_FPERIOD_OVERRIDE=FQ","FILING_STATUS=OR","SCALING_FORMAT=MLN","Sort=A","Dates=H","DateFormat=P","Fill=—","Direction=H","UseDPDF=Y")</f>
        <v>2771</v>
      </c>
      <c r="AP32" s="13">
        <f>_xll.BDH("XOM US Equity","BS_ST_BORROW","FQ2 2008","FQ2 2008","Currency=USD","Period=FQ","BEST_FPERIOD_OVERRIDE=FQ","FILING_STATUS=OR","SCALING_FORMAT=MLN","Sort=A","Dates=H","DateFormat=P","Fill=—","Direction=H","UseDPDF=Y")</f>
        <v>2310</v>
      </c>
    </row>
    <row r="33" spans="1:42" x14ac:dyDescent="0.25">
      <c r="A33" s="10" t="s">
        <v>225</v>
      </c>
      <c r="B33" s="10" t="s">
        <v>226</v>
      </c>
      <c r="C33" s="13">
        <f>_xll.BDH("XOM US Equity","OTHER_CURRENT_LIABS_SUB_DETAILED","FQ3 1998","FQ3 1998","Currency=USD","Period=FQ","BEST_FPERIOD_OVERRIDE=FQ","FILING_STATUS=OR","SCALING_FORMAT=MLN","Sort=A","Dates=H","DateFormat=P","Fill=—","Direction=H","UseDPDF=Y")</f>
        <v>1857</v>
      </c>
      <c r="D33" s="13">
        <f>_xll.BDH("XOM US Equity","OTHER_CURRENT_LIABS_SUB_DETAILED","FQ4 1998","FQ4 1998","Currency=USD","Period=FQ","BEST_FPERIOD_OVERRIDE=FQ","FILING_STATUS=OR","SCALING_FORMAT=MLN","Sort=A","Dates=H","DateFormat=P","Fill=—","Direction=H","UseDPDF=Y")</f>
        <v>7795</v>
      </c>
      <c r="E33" s="13">
        <f>_xll.BDH("XOM US Equity","OTHER_CURRENT_LIABS_SUB_DETAILED","FQ1 1999","FQ1 1999","Currency=USD","Period=FQ","BEST_FPERIOD_OVERRIDE=FQ","FILING_STATUS=OR","SCALING_FORMAT=MLN","Sort=A","Dates=H","DateFormat=P","Fill=—","Direction=H","UseDPDF=Y")</f>
        <v>1365</v>
      </c>
      <c r="F33" s="13">
        <f>_xll.BDH("XOM US Equity","OTHER_CURRENT_LIABS_SUB_DETAILED","FQ2 1999","FQ2 1999","Currency=USD","Period=FQ","BEST_FPERIOD_OVERRIDE=FQ","FILING_STATUS=OR","SCALING_FORMAT=MLN","Sort=A","Dates=H","DateFormat=P","Fill=—","Direction=H","UseDPDF=Y")</f>
        <v>1206</v>
      </c>
      <c r="G33" s="13">
        <f>_xll.BDH("XOM US Equity","OTHER_CURRENT_LIABS_SUB_DETAILED","FQ3 1999","FQ3 1999","Currency=USD","Period=FQ","BEST_FPERIOD_OVERRIDE=FQ","FILING_STATUS=OR","SCALING_FORMAT=MLN","Sort=A","Dates=H","DateFormat=P","Fill=—","Direction=H","UseDPDF=Y")</f>
        <v>1349</v>
      </c>
      <c r="H33" s="13">
        <f>_xll.BDH("XOM US Equity","OTHER_CURRENT_LIABS_SUB_DETAILED","FQ4 1999","FQ4 1999","Currency=USD","Period=FQ","BEST_FPERIOD_OVERRIDE=FQ","FILING_STATUS=OR","SCALING_FORMAT=MLN","Sort=A","Dates=H","DateFormat=P","Fill=—","Direction=H","UseDPDF=Y")</f>
        <v>14639</v>
      </c>
      <c r="I33" s="13">
        <f>_xll.BDH("XOM US Equity","OTHER_CURRENT_LIABS_SUB_DETAILED","FQ1 2000","FQ1 2000","Currency=USD","Period=FQ","BEST_FPERIOD_OVERRIDE=FQ","FILING_STATUS=OR","SCALING_FORMAT=MLN","Sort=A","Dates=H","DateFormat=P","Fill=—","Direction=H","UseDPDF=Y")</f>
        <v>4220</v>
      </c>
      <c r="J33" s="13">
        <f>_xll.BDH("XOM US Equity","OTHER_CURRENT_LIABS_SUB_DETAILED","FQ2 2000","FQ2 2000","Currency=USD","Period=FQ","BEST_FPERIOD_OVERRIDE=FQ","FILING_STATUS=OR","SCALING_FORMAT=MLN","Sort=A","Dates=H","DateFormat=P","Fill=—","Direction=H","UseDPDF=Y")</f>
        <v>4758</v>
      </c>
      <c r="K33" s="13">
        <f>_xll.BDH("XOM US Equity","OTHER_CURRENT_LIABS_SUB_DETAILED","FQ3 2000","FQ3 2000","Currency=USD","Period=FQ","BEST_FPERIOD_OVERRIDE=FQ","FILING_STATUS=OR","SCALING_FORMAT=MLN","Sort=A","Dates=H","DateFormat=P","Fill=—","Direction=H","UseDPDF=Y")</f>
        <v>5416</v>
      </c>
      <c r="L33" s="13">
        <f>_xll.BDH("XOM US Equity","OTHER_CURRENT_LIABS_SUB_DETAILED","FQ4 2000","FQ4 2000","Currency=USD","Period=FQ","BEST_FPERIOD_OVERRIDE=FQ","FILING_STATUS=OR","SCALING_FORMAT=MLN","Sort=A","Dates=H","DateFormat=P","Fill=—","Direction=H","UseDPDF=Y")</f>
        <v>16673</v>
      </c>
      <c r="M33" s="13">
        <f>_xll.BDH("XOM US Equity","OTHER_CURRENT_LIABS_SUB_DETAILED","FQ1 2001","FQ1 2001","Currency=USD","Period=FQ","BEST_FPERIOD_OVERRIDE=FQ","FILING_STATUS=OR","SCALING_FORMAT=MLN","Sort=A","Dates=H","DateFormat=P","Fill=—","Direction=H","UseDPDF=Y")</f>
        <v>6637</v>
      </c>
      <c r="N33" s="13">
        <f>_xll.BDH("XOM US Equity","OTHER_CURRENT_LIABS_SUB_DETAILED","FQ2 2001","FQ2 2001","Currency=USD","Period=FQ","BEST_FPERIOD_OVERRIDE=FQ","FILING_STATUS=OR","SCALING_FORMAT=MLN","Sort=A","Dates=H","DateFormat=P","Fill=—","Direction=H","UseDPDF=Y")</f>
        <v>6417</v>
      </c>
      <c r="O33" s="13">
        <f>_xll.BDH("XOM US Equity","OTHER_CURRENT_LIABS_SUB_DETAILED","FQ3 2001","FQ3 2001","Currency=USD","Period=FQ","BEST_FPERIOD_OVERRIDE=FQ","FILING_STATUS=OR","SCALING_FORMAT=MLN","Sort=A","Dates=H","DateFormat=P","Fill=—","Direction=H","UseDPDF=Y")</f>
        <v>6040</v>
      </c>
      <c r="P33" s="13">
        <f>_xll.BDH("XOM US Equity","OTHER_CURRENT_LIABS_SUB_DETAILED","FQ4 2001","FQ4 2001","Currency=USD","Period=FQ","BEST_FPERIOD_OVERRIDE=FQ","FILING_STATUS=OR","SCALING_FORMAT=MLN","Sort=A","Dates=H","DateFormat=P","Fill=—","Direction=H","UseDPDF=Y")</f>
        <v>3549</v>
      </c>
      <c r="Q33" s="13">
        <f>_xll.BDH("XOM US Equity","OTHER_CURRENT_LIABS_SUB_DETAILED","FQ1 2002","FQ1 2002","Currency=USD","Period=FQ","BEST_FPERIOD_OVERRIDE=FQ","FILING_STATUS=OR","SCALING_FORMAT=MLN","Sort=A","Dates=H","DateFormat=P","Fill=—","Direction=H","UseDPDF=Y")</f>
        <v>3624</v>
      </c>
      <c r="R33" s="13">
        <f>_xll.BDH("XOM US Equity","OTHER_CURRENT_LIABS_SUB_DETAILED","FQ2 2002","FQ2 2002","Currency=USD","Period=FQ","BEST_FPERIOD_OVERRIDE=FQ","FILING_STATUS=OR","SCALING_FORMAT=MLN","Sort=A","Dates=H","DateFormat=P","Fill=—","Direction=H","UseDPDF=Y")</f>
        <v>3400</v>
      </c>
      <c r="S33" s="13">
        <f>_xll.BDH("XOM US Equity","OTHER_CURRENT_LIABS_SUB_DETAILED","FQ3 2002","FQ3 2002","Currency=USD","Period=FQ","BEST_FPERIOD_OVERRIDE=FQ","FILING_STATUS=OR","SCALING_FORMAT=MLN","Sort=A","Dates=H","DateFormat=P","Fill=—","Direction=H","UseDPDF=Y")</f>
        <v>4892</v>
      </c>
      <c r="T33" s="13">
        <f>_xll.BDH("XOM US Equity","OTHER_CURRENT_LIABS_SUB_DETAILED","FQ4 2002","FQ4 2002","Currency=USD","Period=FQ","BEST_FPERIOD_OVERRIDE=FQ","FILING_STATUS=OR","SCALING_FORMAT=MLN","Sort=A","Dates=H","DateFormat=P","Fill=—","Direction=H","UseDPDF=Y")</f>
        <v>15290</v>
      </c>
      <c r="U33" s="13">
        <f>_xll.BDH("XOM US Equity","OTHER_CURRENT_LIABS_SUB_DETAILED","FQ1 2003","FQ1 2003","Currency=USD","Period=FQ","BEST_FPERIOD_OVERRIDE=FQ","FILING_STATUS=OR","SCALING_FORMAT=MLN","Sort=A","Dates=H","DateFormat=P","Fill=—","Direction=H","UseDPDF=Y")</f>
        <v>5888</v>
      </c>
      <c r="V33" s="13">
        <f>_xll.BDH("XOM US Equity","OTHER_CURRENT_LIABS_SUB_DETAILED","FQ2 2003","FQ2 2003","Currency=USD","Period=FQ","BEST_FPERIOD_OVERRIDE=FQ","FILING_STATUS=OR","SCALING_FORMAT=MLN","Sort=A","Dates=H","DateFormat=P","Fill=—","Direction=H","UseDPDF=Y")</f>
        <v>5791</v>
      </c>
      <c r="W33" s="13">
        <f>_xll.BDH("XOM US Equity","OTHER_CURRENT_LIABS_SUB_DETAILED","FQ3 2003","FQ3 2003","Currency=USD","Period=FQ","BEST_FPERIOD_OVERRIDE=FQ","FILING_STATUS=OR","SCALING_FORMAT=MLN","Sort=A","Dates=H","DateFormat=P","Fill=—","Direction=H","UseDPDF=Y")</f>
        <v>6906</v>
      </c>
      <c r="X33" s="13">
        <f>_xll.BDH("XOM US Equity","OTHER_CURRENT_LIABS_SUB_DETAILED","FQ4 2003","FQ4 2003","Currency=USD","Period=FQ","BEST_FPERIOD_OVERRIDE=FQ","FILING_STATUS=OR","SCALING_FORMAT=MLN","Sort=A","Dates=H","DateFormat=P","Fill=—","Direction=H","UseDPDF=Y")</f>
        <v>18263</v>
      </c>
      <c r="Y33" s="13">
        <f>_xll.BDH("XOM US Equity","OTHER_CURRENT_LIABS_SUB_DETAILED","FQ1 2004","FQ1 2004","Currency=USD","Period=FQ","BEST_FPERIOD_OVERRIDE=FQ","FILING_STATUS=OR","SCALING_FORMAT=MLN","Sort=A","Dates=H","DateFormat=P","Fill=—","Direction=H","UseDPDF=Y")</f>
        <v>6765</v>
      </c>
      <c r="Z33" s="13">
        <f>_xll.BDH("XOM US Equity","OTHER_CURRENT_LIABS_SUB_DETAILED","FQ2 2004","FQ2 2004","Currency=USD","Period=FQ","BEST_FPERIOD_OVERRIDE=FQ","FILING_STATUS=OR","SCALING_FORMAT=MLN","Sort=A","Dates=H","DateFormat=P","Fill=—","Direction=H","UseDPDF=Y")</f>
        <v>6318</v>
      </c>
      <c r="AA33" s="13">
        <f>_xll.BDH("XOM US Equity","OTHER_CURRENT_LIABS_SUB_DETAILED","FQ3 2004","FQ3 2004","Currency=USD","Period=FQ","BEST_FPERIOD_OVERRIDE=FQ","FILING_STATUS=OR","SCALING_FORMAT=MLN","Sort=A","Dates=H","DateFormat=P","Fill=—","Direction=H","UseDPDF=Y")</f>
        <v>7175</v>
      </c>
      <c r="AB33" s="13">
        <f>_xll.BDH("XOM US Equity","OTHER_CURRENT_LIABS_SUB_DETAILED","FQ4 2004","FQ4 2004","Currency=USD","Period=FQ","BEST_FPERIOD_OVERRIDE=FQ","FILING_STATUS=OR","SCALING_FORMAT=MLN","Sort=A","Dates=H","DateFormat=P","Fill=—","Direction=H","UseDPDF=Y")</f>
        <v>21515</v>
      </c>
      <c r="AC33" s="13">
        <f>_xll.BDH("XOM US Equity","OTHER_CURRENT_LIABS_SUB_DETAILED","FQ1 2005","FQ1 2005","Currency=USD","Period=FQ","BEST_FPERIOD_OVERRIDE=FQ","FILING_STATUS=OR","SCALING_FORMAT=MLN","Sort=A","Dates=H","DateFormat=P","Fill=—","Direction=H","UseDPDF=Y")</f>
        <v>8959</v>
      </c>
      <c r="AD33" s="13">
        <f>_xll.BDH("XOM US Equity","OTHER_CURRENT_LIABS_SUB_DETAILED","FQ2 2005","FQ2 2005","Currency=USD","Period=FQ","BEST_FPERIOD_OVERRIDE=FQ","FILING_STATUS=OR","SCALING_FORMAT=MLN","Sort=A","Dates=H","DateFormat=P","Fill=—","Direction=H","UseDPDF=Y")</f>
        <v>7429</v>
      </c>
      <c r="AE33" s="13">
        <f>_xll.BDH("XOM US Equity","OTHER_CURRENT_LIABS_SUB_DETAILED","FQ3 2005","FQ3 2005","Currency=USD","Period=FQ","BEST_FPERIOD_OVERRIDE=FQ","FILING_STATUS=OR","SCALING_FORMAT=MLN","Sort=A","Dates=H","DateFormat=P","Fill=—","Direction=H","UseDPDF=Y")</f>
        <v>9489</v>
      </c>
      <c r="AF33" s="13">
        <f>_xll.BDH("XOM US Equity","OTHER_CURRENT_LIABS_SUB_DETAILED","FQ4 2005","FQ4 2005","Currency=USD","Period=FQ","BEST_FPERIOD_OVERRIDE=FQ","FILING_STATUS=OR","SCALING_FORMAT=MLN","Sort=A","Dates=H","DateFormat=P","Fill=—","Direction=H","UseDPDF=Y")</f>
        <v>21748</v>
      </c>
      <c r="AG33" s="13">
        <f>_xll.BDH("XOM US Equity","OTHER_CURRENT_LIABS_SUB_DETAILED","FQ1 2006","FQ1 2006","Currency=USD","Period=FQ","BEST_FPERIOD_OVERRIDE=FQ","FILING_STATUS=OR","SCALING_FORMAT=MLN","Sort=A","Dates=H","DateFormat=P","Fill=—","Direction=H","UseDPDF=Y")</f>
        <v>10676</v>
      </c>
      <c r="AH33" s="13">
        <f>_xll.BDH("XOM US Equity","OTHER_CURRENT_LIABS_SUB_DETAILED","FQ2 2006","FQ2 2006","Currency=USD","Period=FQ","BEST_FPERIOD_OVERRIDE=FQ","FILING_STATUS=OR","SCALING_FORMAT=MLN","Sort=A","Dates=H","DateFormat=P","Fill=—","Direction=H","UseDPDF=Y")</f>
        <v>10288</v>
      </c>
      <c r="AI33" s="13">
        <f>_xll.BDH("XOM US Equity","OTHER_CURRENT_LIABS_SUB_DETAILED","FQ3 2006","FQ3 2006","Currency=USD","Period=FQ","BEST_FPERIOD_OVERRIDE=FQ","FILING_STATUS=OR","SCALING_FORMAT=MLN","Sort=A","Dates=H","DateFormat=P","Fill=—","Direction=H","UseDPDF=Y")</f>
        <v>12454</v>
      </c>
      <c r="AJ33" s="13">
        <f>_xll.BDH("XOM US Equity","OTHER_CURRENT_LIABS_SUB_DETAILED","FQ4 2006","FQ4 2006","Currency=USD","Period=FQ","BEST_FPERIOD_OVERRIDE=FQ","FILING_STATUS=OR","SCALING_FORMAT=MLN","Sort=A","Dates=H","DateFormat=P","Fill=—","Direction=H","UseDPDF=Y")</f>
        <v>8033</v>
      </c>
      <c r="AK33" s="13">
        <f>_xll.BDH("XOM US Equity","OTHER_CURRENT_LIABS_SUB_DETAILED","FQ1 2007","FQ1 2007","Currency=USD","Period=FQ","BEST_FPERIOD_OVERRIDE=FQ","FILING_STATUS=OR","SCALING_FORMAT=MLN","Sort=A","Dates=H","DateFormat=P","Fill=—","Direction=H","UseDPDF=Y")</f>
        <v>9661</v>
      </c>
      <c r="AL33" s="13">
        <f>_xll.BDH("XOM US Equity","OTHER_CURRENT_LIABS_SUB_DETAILED","FQ2 2007","FQ2 2007","Currency=USD","Period=FQ","BEST_FPERIOD_OVERRIDE=FQ","FILING_STATUS=OR","SCALING_FORMAT=MLN","Sort=A","Dates=H","DateFormat=P","Fill=—","Direction=H","UseDPDF=Y")</f>
        <v>8636</v>
      </c>
      <c r="AM33" s="13">
        <f>_xll.BDH("XOM US Equity","OTHER_CURRENT_LIABS_SUB_DETAILED","FQ3 2007","FQ3 2007","Currency=USD","Period=FQ","BEST_FPERIOD_OVERRIDE=FQ","FILING_STATUS=OR","SCALING_FORMAT=MLN","Sort=A","Dates=H","DateFormat=P","Fill=—","Direction=H","UseDPDF=Y")</f>
        <v>10300</v>
      </c>
      <c r="AN33" s="13">
        <f>_xll.BDH("XOM US Equity","OTHER_CURRENT_LIABS_SUB_DETAILED","FQ4 2007","FQ4 2007","Currency=USD","Period=FQ","BEST_FPERIOD_OVERRIDE=FQ","FILING_STATUS=OR","SCALING_FORMAT=MLN","Sort=A","Dates=H","DateFormat=P","Fill=—","Direction=H","UseDPDF=Y")</f>
        <v>10654</v>
      </c>
      <c r="AO33" s="13">
        <f>_xll.BDH("XOM US Equity","OTHER_CURRENT_LIABS_SUB_DETAILED","FQ1 2008","FQ1 2008","Currency=USD","Period=FQ","BEST_FPERIOD_OVERRIDE=FQ","FILING_STATUS=OR","SCALING_FORMAT=MLN","Sort=A","Dates=H","DateFormat=P","Fill=—","Direction=H","UseDPDF=Y")</f>
        <v>14599</v>
      </c>
      <c r="AP33" s="13">
        <f>_xll.BDH("XOM US Equity","OTHER_CURRENT_LIABS_SUB_DETAILED","FQ2 2008","FQ2 2008","Currency=USD","Period=FQ","BEST_FPERIOD_OVERRIDE=FQ","FILING_STATUS=OR","SCALING_FORMAT=MLN","Sort=A","Dates=H","DateFormat=P","Fill=—","Direction=H","UseDPDF=Y")</f>
        <v>14661</v>
      </c>
    </row>
    <row r="34" spans="1:42" x14ac:dyDescent="0.25">
      <c r="A34" s="10" t="s">
        <v>227</v>
      </c>
      <c r="B34" s="10" t="s">
        <v>228</v>
      </c>
      <c r="C34" s="13">
        <f>_xll.BDH("XOM US Equity","OTHER_CURRENT_LIABS_DETAILED","FQ3 1998","FQ3 1998","Currency=USD","Period=FQ","BEST_FPERIOD_OVERRIDE=FQ","FILING_STATUS=OR","SCALING_FORMAT=MLN","Sort=A","Dates=H","DateFormat=P","Fill=—","Direction=H","UseDPDF=Y")</f>
        <v>1857</v>
      </c>
      <c r="D34" s="13">
        <f>_xll.BDH("XOM US Equity","OTHER_CURRENT_LIABS_DETAILED","FQ4 1998","FQ4 1998","Currency=USD","Period=FQ","BEST_FPERIOD_OVERRIDE=FQ","FILING_STATUS=OR","SCALING_FORMAT=MLN","Sort=A","Dates=H","DateFormat=P","Fill=—","Direction=H","UseDPDF=Y")</f>
        <v>7795</v>
      </c>
      <c r="E34" s="13">
        <f>_xll.BDH("XOM US Equity","OTHER_CURRENT_LIABS_DETAILED","FQ1 1999","FQ1 1999","Currency=USD","Period=FQ","BEST_FPERIOD_OVERRIDE=FQ","FILING_STATUS=OR","SCALING_FORMAT=MLN","Sort=A","Dates=H","DateFormat=P","Fill=—","Direction=H","UseDPDF=Y")</f>
        <v>1365</v>
      </c>
      <c r="F34" s="13">
        <f>_xll.BDH("XOM US Equity","OTHER_CURRENT_LIABS_DETAILED","FQ2 1999","FQ2 1999","Currency=USD","Period=FQ","BEST_FPERIOD_OVERRIDE=FQ","FILING_STATUS=OR","SCALING_FORMAT=MLN","Sort=A","Dates=H","DateFormat=P","Fill=—","Direction=H","UseDPDF=Y")</f>
        <v>1206</v>
      </c>
      <c r="G34" s="13">
        <f>_xll.BDH("XOM US Equity","OTHER_CURRENT_LIABS_DETAILED","FQ3 1999","FQ3 1999","Currency=USD","Period=FQ","BEST_FPERIOD_OVERRIDE=FQ","FILING_STATUS=OR","SCALING_FORMAT=MLN","Sort=A","Dates=H","DateFormat=P","Fill=—","Direction=H","UseDPDF=Y")</f>
        <v>1349</v>
      </c>
      <c r="H34" s="13">
        <f>_xll.BDH("XOM US Equity","OTHER_CURRENT_LIABS_DETAILED","FQ4 1999","FQ4 1999","Currency=USD","Period=FQ","BEST_FPERIOD_OVERRIDE=FQ","FILING_STATUS=OR","SCALING_FORMAT=MLN","Sort=A","Dates=H","DateFormat=P","Fill=—","Direction=H","UseDPDF=Y")</f>
        <v>14639</v>
      </c>
      <c r="I34" s="13">
        <f>_xll.BDH("XOM US Equity","OTHER_CURRENT_LIABS_DETAILED","FQ1 2000","FQ1 2000","Currency=USD","Period=FQ","BEST_FPERIOD_OVERRIDE=FQ","FILING_STATUS=OR","SCALING_FORMAT=MLN","Sort=A","Dates=H","DateFormat=P","Fill=—","Direction=H","UseDPDF=Y")</f>
        <v>4220</v>
      </c>
      <c r="J34" s="13">
        <f>_xll.BDH("XOM US Equity","OTHER_CURRENT_LIABS_DETAILED","FQ2 2000","FQ2 2000","Currency=USD","Period=FQ","BEST_FPERIOD_OVERRIDE=FQ","FILING_STATUS=OR","SCALING_FORMAT=MLN","Sort=A","Dates=H","DateFormat=P","Fill=—","Direction=H","UseDPDF=Y")</f>
        <v>4758</v>
      </c>
      <c r="K34" s="13">
        <f>_xll.BDH("XOM US Equity","OTHER_CURRENT_LIABS_DETAILED","FQ3 2000","FQ3 2000","Currency=USD","Period=FQ","BEST_FPERIOD_OVERRIDE=FQ","FILING_STATUS=OR","SCALING_FORMAT=MLN","Sort=A","Dates=H","DateFormat=P","Fill=—","Direction=H","UseDPDF=Y")</f>
        <v>5416</v>
      </c>
      <c r="L34" s="13">
        <f>_xll.BDH("XOM US Equity","OTHER_CURRENT_LIABS_DETAILED","FQ4 2000","FQ4 2000","Currency=USD","Period=FQ","BEST_FPERIOD_OVERRIDE=FQ","FILING_STATUS=OR","SCALING_FORMAT=MLN","Sort=A","Dates=H","DateFormat=P","Fill=—","Direction=H","UseDPDF=Y")</f>
        <v>16673</v>
      </c>
      <c r="M34" s="13">
        <f>_xll.BDH("XOM US Equity","OTHER_CURRENT_LIABS_DETAILED","FQ1 2001","FQ1 2001","Currency=USD","Period=FQ","BEST_FPERIOD_OVERRIDE=FQ","FILING_STATUS=OR","SCALING_FORMAT=MLN","Sort=A","Dates=H","DateFormat=P","Fill=—","Direction=H","UseDPDF=Y")</f>
        <v>6637</v>
      </c>
      <c r="N34" s="13">
        <f>_xll.BDH("XOM US Equity","OTHER_CURRENT_LIABS_DETAILED","FQ2 2001","FQ2 2001","Currency=USD","Period=FQ","BEST_FPERIOD_OVERRIDE=FQ","FILING_STATUS=OR","SCALING_FORMAT=MLN","Sort=A","Dates=H","DateFormat=P","Fill=—","Direction=H","UseDPDF=Y")</f>
        <v>6417</v>
      </c>
      <c r="O34" s="13">
        <f>_xll.BDH("XOM US Equity","OTHER_CURRENT_LIABS_DETAILED","FQ3 2001","FQ3 2001","Currency=USD","Period=FQ","BEST_FPERIOD_OVERRIDE=FQ","FILING_STATUS=OR","SCALING_FORMAT=MLN","Sort=A","Dates=H","DateFormat=P","Fill=—","Direction=H","UseDPDF=Y")</f>
        <v>6040</v>
      </c>
      <c r="P34" s="13">
        <f>_xll.BDH("XOM US Equity","OTHER_CURRENT_LIABS_DETAILED","FQ4 2001","FQ4 2001","Currency=USD","Period=FQ","BEST_FPERIOD_OVERRIDE=FQ","FILING_STATUS=OR","SCALING_FORMAT=MLN","Sort=A","Dates=H","DateFormat=P","Fill=—","Direction=H","UseDPDF=Y")</f>
        <v>3549</v>
      </c>
      <c r="Q34" s="13">
        <f>_xll.BDH("XOM US Equity","OTHER_CURRENT_LIABS_DETAILED","FQ1 2002","FQ1 2002","Currency=USD","Period=FQ","BEST_FPERIOD_OVERRIDE=FQ","FILING_STATUS=OR","SCALING_FORMAT=MLN","Sort=A","Dates=H","DateFormat=P","Fill=—","Direction=H","UseDPDF=Y")</f>
        <v>3624</v>
      </c>
      <c r="R34" s="13">
        <f>_xll.BDH("XOM US Equity","OTHER_CURRENT_LIABS_DETAILED","FQ2 2002","FQ2 2002","Currency=USD","Period=FQ","BEST_FPERIOD_OVERRIDE=FQ","FILING_STATUS=OR","SCALING_FORMAT=MLN","Sort=A","Dates=H","DateFormat=P","Fill=—","Direction=H","UseDPDF=Y")</f>
        <v>3400</v>
      </c>
      <c r="S34" s="13">
        <f>_xll.BDH("XOM US Equity","OTHER_CURRENT_LIABS_DETAILED","FQ3 2002","FQ3 2002","Currency=USD","Period=FQ","BEST_FPERIOD_OVERRIDE=FQ","FILING_STATUS=OR","SCALING_FORMAT=MLN","Sort=A","Dates=H","DateFormat=P","Fill=—","Direction=H","UseDPDF=Y")</f>
        <v>4892</v>
      </c>
      <c r="T34" s="13">
        <f>_xll.BDH("XOM US Equity","OTHER_CURRENT_LIABS_DETAILED","FQ4 2002","FQ4 2002","Currency=USD","Period=FQ","BEST_FPERIOD_OVERRIDE=FQ","FILING_STATUS=OR","SCALING_FORMAT=MLN","Sort=A","Dates=H","DateFormat=P","Fill=—","Direction=H","UseDPDF=Y")</f>
        <v>15290</v>
      </c>
      <c r="U34" s="13">
        <f>_xll.BDH("XOM US Equity","OTHER_CURRENT_LIABS_DETAILED","FQ1 2003","FQ1 2003","Currency=USD","Period=FQ","BEST_FPERIOD_OVERRIDE=FQ","FILING_STATUS=OR","SCALING_FORMAT=MLN","Sort=A","Dates=H","DateFormat=P","Fill=—","Direction=H","UseDPDF=Y")</f>
        <v>5888</v>
      </c>
      <c r="V34" s="13">
        <f>_xll.BDH("XOM US Equity","OTHER_CURRENT_LIABS_DETAILED","FQ2 2003","FQ2 2003","Currency=USD","Period=FQ","BEST_FPERIOD_OVERRIDE=FQ","FILING_STATUS=OR","SCALING_FORMAT=MLN","Sort=A","Dates=H","DateFormat=P","Fill=—","Direction=H","UseDPDF=Y")</f>
        <v>5791</v>
      </c>
      <c r="W34" s="13">
        <f>_xll.BDH("XOM US Equity","OTHER_CURRENT_LIABS_DETAILED","FQ3 2003","FQ3 2003","Currency=USD","Period=FQ","BEST_FPERIOD_OVERRIDE=FQ","FILING_STATUS=OR","SCALING_FORMAT=MLN","Sort=A","Dates=H","DateFormat=P","Fill=—","Direction=H","UseDPDF=Y")</f>
        <v>6906</v>
      </c>
      <c r="X34" s="13">
        <f>_xll.BDH("XOM US Equity","OTHER_CURRENT_LIABS_DETAILED","FQ4 2003","FQ4 2003","Currency=USD","Period=FQ","BEST_FPERIOD_OVERRIDE=FQ","FILING_STATUS=OR","SCALING_FORMAT=MLN","Sort=A","Dates=H","DateFormat=P","Fill=—","Direction=H","UseDPDF=Y")</f>
        <v>18263</v>
      </c>
      <c r="Y34" s="13">
        <f>_xll.BDH("XOM US Equity","OTHER_CURRENT_LIABS_DETAILED","FQ1 2004","FQ1 2004","Currency=USD","Period=FQ","BEST_FPERIOD_OVERRIDE=FQ","FILING_STATUS=OR","SCALING_FORMAT=MLN","Sort=A","Dates=H","DateFormat=P","Fill=—","Direction=H","UseDPDF=Y")</f>
        <v>6765</v>
      </c>
      <c r="Z34" s="13">
        <f>_xll.BDH("XOM US Equity","OTHER_CURRENT_LIABS_DETAILED","FQ2 2004","FQ2 2004","Currency=USD","Period=FQ","BEST_FPERIOD_OVERRIDE=FQ","FILING_STATUS=OR","SCALING_FORMAT=MLN","Sort=A","Dates=H","DateFormat=P","Fill=—","Direction=H","UseDPDF=Y")</f>
        <v>6318</v>
      </c>
      <c r="AA34" s="13">
        <f>_xll.BDH("XOM US Equity","OTHER_CURRENT_LIABS_DETAILED","FQ3 2004","FQ3 2004","Currency=USD","Period=FQ","BEST_FPERIOD_OVERRIDE=FQ","FILING_STATUS=OR","SCALING_FORMAT=MLN","Sort=A","Dates=H","DateFormat=P","Fill=—","Direction=H","UseDPDF=Y")</f>
        <v>7175</v>
      </c>
      <c r="AB34" s="13">
        <f>_xll.BDH("XOM US Equity","OTHER_CURRENT_LIABS_DETAILED","FQ4 2004","FQ4 2004","Currency=USD","Period=FQ","BEST_FPERIOD_OVERRIDE=FQ","FILING_STATUS=OR","SCALING_FORMAT=MLN","Sort=A","Dates=H","DateFormat=P","Fill=—","Direction=H","UseDPDF=Y")</f>
        <v>21515</v>
      </c>
      <c r="AC34" s="13">
        <f>_xll.BDH("XOM US Equity","OTHER_CURRENT_LIABS_DETAILED","FQ1 2005","FQ1 2005","Currency=USD","Period=FQ","BEST_FPERIOD_OVERRIDE=FQ","FILING_STATUS=OR","SCALING_FORMAT=MLN","Sort=A","Dates=H","DateFormat=P","Fill=—","Direction=H","UseDPDF=Y")</f>
        <v>8959</v>
      </c>
      <c r="AD34" s="13">
        <f>_xll.BDH("XOM US Equity","OTHER_CURRENT_LIABS_DETAILED","FQ2 2005","FQ2 2005","Currency=USD","Period=FQ","BEST_FPERIOD_OVERRIDE=FQ","FILING_STATUS=OR","SCALING_FORMAT=MLN","Sort=A","Dates=H","DateFormat=P","Fill=—","Direction=H","UseDPDF=Y")</f>
        <v>7429</v>
      </c>
      <c r="AE34" s="13">
        <f>_xll.BDH("XOM US Equity","OTHER_CURRENT_LIABS_DETAILED","FQ3 2005","FQ3 2005","Currency=USD","Period=FQ","BEST_FPERIOD_OVERRIDE=FQ","FILING_STATUS=OR","SCALING_FORMAT=MLN","Sort=A","Dates=H","DateFormat=P","Fill=—","Direction=H","UseDPDF=Y")</f>
        <v>9489</v>
      </c>
      <c r="AF34" s="13">
        <f>_xll.BDH("XOM US Equity","OTHER_CURRENT_LIABS_DETAILED","FQ4 2005","FQ4 2005","Currency=USD","Period=FQ","BEST_FPERIOD_OVERRIDE=FQ","FILING_STATUS=OR","SCALING_FORMAT=MLN","Sort=A","Dates=H","DateFormat=P","Fill=—","Direction=H","UseDPDF=Y")</f>
        <v>21748</v>
      </c>
      <c r="AG34" s="13">
        <f>_xll.BDH("XOM US Equity","OTHER_CURRENT_LIABS_DETAILED","FQ1 2006","FQ1 2006","Currency=USD","Period=FQ","BEST_FPERIOD_OVERRIDE=FQ","FILING_STATUS=OR","SCALING_FORMAT=MLN","Sort=A","Dates=H","DateFormat=P","Fill=—","Direction=H","UseDPDF=Y")</f>
        <v>10676</v>
      </c>
      <c r="AH34" s="13">
        <f>_xll.BDH("XOM US Equity","OTHER_CURRENT_LIABS_DETAILED","FQ2 2006","FQ2 2006","Currency=USD","Period=FQ","BEST_FPERIOD_OVERRIDE=FQ","FILING_STATUS=OR","SCALING_FORMAT=MLN","Sort=A","Dates=H","DateFormat=P","Fill=—","Direction=H","UseDPDF=Y")</f>
        <v>10288</v>
      </c>
      <c r="AI34" s="13">
        <f>_xll.BDH("XOM US Equity","OTHER_CURRENT_LIABS_DETAILED","FQ3 2006","FQ3 2006","Currency=USD","Period=FQ","BEST_FPERIOD_OVERRIDE=FQ","FILING_STATUS=OR","SCALING_FORMAT=MLN","Sort=A","Dates=H","DateFormat=P","Fill=—","Direction=H","UseDPDF=Y")</f>
        <v>12454</v>
      </c>
      <c r="AJ34" s="13">
        <f>_xll.BDH("XOM US Equity","OTHER_CURRENT_LIABS_DETAILED","FQ4 2006","FQ4 2006","Currency=USD","Period=FQ","BEST_FPERIOD_OVERRIDE=FQ","FILING_STATUS=OR","SCALING_FORMAT=MLN","Sort=A","Dates=H","DateFormat=P","Fill=—","Direction=H","UseDPDF=Y")</f>
        <v>8033</v>
      </c>
      <c r="AK34" s="13">
        <f>_xll.BDH("XOM US Equity","OTHER_CURRENT_LIABS_DETAILED","FQ1 2007","FQ1 2007","Currency=USD","Period=FQ","BEST_FPERIOD_OVERRIDE=FQ","FILING_STATUS=OR","SCALING_FORMAT=MLN","Sort=A","Dates=H","DateFormat=P","Fill=—","Direction=H","UseDPDF=Y")</f>
        <v>9661</v>
      </c>
      <c r="AL34" s="13">
        <f>_xll.BDH("XOM US Equity","OTHER_CURRENT_LIABS_DETAILED","FQ2 2007","FQ2 2007","Currency=USD","Period=FQ","BEST_FPERIOD_OVERRIDE=FQ","FILING_STATUS=OR","SCALING_FORMAT=MLN","Sort=A","Dates=H","DateFormat=P","Fill=—","Direction=H","UseDPDF=Y")</f>
        <v>8636</v>
      </c>
      <c r="AM34" s="13">
        <f>_xll.BDH("XOM US Equity","OTHER_CURRENT_LIABS_DETAILED","FQ3 2007","FQ3 2007","Currency=USD","Period=FQ","BEST_FPERIOD_OVERRIDE=FQ","FILING_STATUS=OR","SCALING_FORMAT=MLN","Sort=A","Dates=H","DateFormat=P","Fill=—","Direction=H","UseDPDF=Y")</f>
        <v>10300</v>
      </c>
      <c r="AN34" s="13">
        <f>_xll.BDH("XOM US Equity","OTHER_CURRENT_LIABS_DETAILED","FQ4 2007","FQ4 2007","Currency=USD","Period=FQ","BEST_FPERIOD_OVERRIDE=FQ","FILING_STATUS=OR","SCALING_FORMAT=MLN","Sort=A","Dates=H","DateFormat=P","Fill=—","Direction=H","UseDPDF=Y")</f>
        <v>10654</v>
      </c>
      <c r="AO34" s="13">
        <f>_xll.BDH("XOM US Equity","OTHER_CURRENT_LIABS_DETAILED","FQ1 2008","FQ1 2008","Currency=USD","Period=FQ","BEST_FPERIOD_OVERRIDE=FQ","FILING_STATUS=OR","SCALING_FORMAT=MLN","Sort=A","Dates=H","DateFormat=P","Fill=—","Direction=H","UseDPDF=Y")</f>
        <v>14599</v>
      </c>
      <c r="AP34" s="13">
        <f>_xll.BDH("XOM US Equity","OTHER_CURRENT_LIABS_DETAILED","FQ2 2008","FQ2 2008","Currency=USD","Period=FQ","BEST_FPERIOD_OVERRIDE=FQ","FILING_STATUS=OR","SCALING_FORMAT=MLN","Sort=A","Dates=H","DateFormat=P","Fill=—","Direction=H","UseDPDF=Y")</f>
        <v>14661</v>
      </c>
    </row>
    <row r="35" spans="1:42" x14ac:dyDescent="0.25">
      <c r="A35" s="6" t="s">
        <v>229</v>
      </c>
      <c r="B35" s="6" t="s">
        <v>230</v>
      </c>
      <c r="C35" s="16">
        <f>_xll.BDH("XOM US Equity","BS_CUR_LIAB","FQ3 1998","FQ3 1998","Currency=USD","Period=FQ","BEST_FPERIOD_OVERRIDE=FQ","FILING_STATUS=OR","SCALING_FORMAT=MLN","Sort=A","Dates=H","DateFormat=P","Fill=—","Direction=H","UseDPDF=Y")</f>
        <v>18765</v>
      </c>
      <c r="D35" s="16">
        <f>_xll.BDH("XOM US Equity","BS_CUR_LIAB","FQ4 1998","FQ4 1998","Currency=USD","Period=FQ","BEST_FPERIOD_OVERRIDE=FQ","FILING_STATUS=OR","SCALING_FORMAT=MLN","Sort=A","Dates=H","DateFormat=P","Fill=—","Direction=H","UseDPDF=Y")</f>
        <v>19412</v>
      </c>
      <c r="E35" s="16">
        <f>_xll.BDH("XOM US Equity","BS_CUR_LIAB","FQ1 1999","FQ1 1999","Currency=USD","Period=FQ","BEST_FPERIOD_OVERRIDE=FQ","FILING_STATUS=OR","SCALING_FORMAT=MLN","Sort=A","Dates=H","DateFormat=P","Fill=—","Direction=H","UseDPDF=Y")</f>
        <v>18872</v>
      </c>
      <c r="F35" s="16">
        <f>_xll.BDH("XOM US Equity","BS_CUR_LIAB","FQ2 1999","FQ2 1999","Currency=USD","Period=FQ","BEST_FPERIOD_OVERRIDE=FQ","FILING_STATUS=OR","SCALING_FORMAT=MLN","Sort=A","Dates=H","DateFormat=P","Fill=—","Direction=H","UseDPDF=Y")</f>
        <v>19710</v>
      </c>
      <c r="G35" s="16">
        <f>_xll.BDH("XOM US Equity","BS_CUR_LIAB","FQ3 1999","FQ3 1999","Currency=USD","Period=FQ","BEST_FPERIOD_OVERRIDE=FQ","FILING_STATUS=OR","SCALING_FORMAT=MLN","Sort=A","Dates=H","DateFormat=P","Fill=—","Direction=H","UseDPDF=Y")</f>
        <v>21579</v>
      </c>
      <c r="H35" s="16">
        <f>_xll.BDH("XOM US Equity","BS_CUR_LIAB","FQ4 1999","FQ4 1999","Currency=USD","Period=FQ","BEST_FPERIOD_OVERRIDE=FQ","FILING_STATUS=OR","SCALING_FORMAT=MLN","Sort=A","Dates=H","DateFormat=P","Fill=—","Direction=H","UseDPDF=Y")</f>
        <v>38733</v>
      </c>
      <c r="I35" s="16">
        <f>_xll.BDH("XOM US Equity","BS_CUR_LIAB","FQ1 2000","FQ1 2000","Currency=USD","Period=FQ","BEST_FPERIOD_OVERRIDE=FQ","FILING_STATUS=OR","SCALING_FORMAT=MLN","Sort=A","Dates=H","DateFormat=P","Fill=—","Direction=H","UseDPDF=Y")</f>
        <v>37221</v>
      </c>
      <c r="J35" s="16">
        <f>_xll.BDH("XOM US Equity","BS_CUR_LIAB","FQ2 2000","FQ2 2000","Currency=USD","Period=FQ","BEST_FPERIOD_OVERRIDE=FQ","FILING_STATUS=OR","SCALING_FORMAT=MLN","Sort=A","Dates=H","DateFormat=P","Fill=—","Direction=H","UseDPDF=Y")</f>
        <v>38592</v>
      </c>
      <c r="K35" s="16">
        <f>_xll.BDH("XOM US Equity","BS_CUR_LIAB","FQ3 2000","FQ3 2000","Currency=USD","Period=FQ","BEST_FPERIOD_OVERRIDE=FQ","FILING_STATUS=OR","SCALING_FORMAT=MLN","Sort=A","Dates=H","DateFormat=P","Fill=—","Direction=H","UseDPDF=Y")</f>
        <v>39775</v>
      </c>
      <c r="L35" s="16">
        <f>_xll.BDH("XOM US Equity","BS_CUR_LIAB","FQ4 2000","FQ4 2000","Currency=USD","Period=FQ","BEST_FPERIOD_OVERRIDE=FQ","FILING_STATUS=OR","SCALING_FORMAT=MLN","Sort=A","Dates=H","DateFormat=P","Fill=—","Direction=H","UseDPDF=Y")</f>
        <v>38191</v>
      </c>
      <c r="M35" s="16">
        <f>_xll.BDH("XOM US Equity","BS_CUR_LIAB","FQ1 2001","FQ1 2001","Currency=USD","Period=FQ","BEST_FPERIOD_OVERRIDE=FQ","FILING_STATUS=OR","SCALING_FORMAT=MLN","Sort=A","Dates=H","DateFormat=P","Fill=—","Direction=H","UseDPDF=Y")</f>
        <v>37361</v>
      </c>
      <c r="N35" s="16">
        <f>_xll.BDH("XOM US Equity","BS_CUR_LIAB","FQ2 2001","FQ2 2001","Currency=USD","Period=FQ","BEST_FPERIOD_OVERRIDE=FQ","FILING_STATUS=OR","SCALING_FORMAT=MLN","Sort=A","Dates=H","DateFormat=P","Fill=—","Direction=H","UseDPDF=Y")</f>
        <v>35614</v>
      </c>
      <c r="O35" s="16">
        <f>_xll.BDH("XOM US Equity","BS_CUR_LIAB","FQ3 2001","FQ3 2001","Currency=USD","Period=FQ","BEST_FPERIOD_OVERRIDE=FQ","FILING_STATUS=OR","SCALING_FORMAT=MLN","Sort=A","Dates=H","DateFormat=P","Fill=—","Direction=H","UseDPDF=Y")</f>
        <v>34565</v>
      </c>
      <c r="P35" s="16">
        <f>_xll.BDH("XOM US Equity","BS_CUR_LIAB","FQ4 2001","FQ4 2001","Currency=USD","Period=FQ","BEST_FPERIOD_OVERRIDE=FQ","FILING_STATUS=OR","SCALING_FORMAT=MLN","Sort=A","Dates=H","DateFormat=P","Fill=—","Direction=H","UseDPDF=Y")</f>
        <v>30114</v>
      </c>
      <c r="Q35" s="16">
        <f>_xll.BDH("XOM US Equity","BS_CUR_LIAB","FQ1 2002","FQ1 2002","Currency=USD","Period=FQ","BEST_FPERIOD_OVERRIDE=FQ","FILING_STATUS=OR","SCALING_FORMAT=MLN","Sort=A","Dates=H","DateFormat=P","Fill=—","Direction=H","UseDPDF=Y")</f>
        <v>30178</v>
      </c>
      <c r="R35" s="16">
        <f>_xll.BDH("XOM US Equity","BS_CUR_LIAB","FQ2 2002","FQ2 2002","Currency=USD","Period=FQ","BEST_FPERIOD_OVERRIDE=FQ","FILING_STATUS=OR","SCALING_FORMAT=MLN","Sort=A","Dates=H","DateFormat=P","Fill=—","Direction=H","UseDPDF=Y")</f>
        <v>31242</v>
      </c>
      <c r="S35" s="16">
        <f>_xll.BDH("XOM US Equity","BS_CUR_LIAB","FQ3 2002","FQ3 2002","Currency=USD","Period=FQ","BEST_FPERIOD_OVERRIDE=FQ","FILING_STATUS=OR","SCALING_FORMAT=MLN","Sort=A","Dates=H","DateFormat=P","Fill=—","Direction=H","UseDPDF=Y")</f>
        <v>33059</v>
      </c>
      <c r="T35" s="16">
        <f>_xll.BDH("XOM US Equity","BS_CUR_LIAB","FQ4 2002","FQ4 2002","Currency=USD","Period=FQ","BEST_FPERIOD_OVERRIDE=FQ","FILING_STATUS=OR","SCALING_FORMAT=MLN","Sort=A","Dates=H","DateFormat=P","Fill=—","Direction=H","UseDPDF=Y")</f>
        <v>33175</v>
      </c>
      <c r="U35" s="16">
        <f>_xll.BDH("XOM US Equity","BS_CUR_LIAB","FQ1 2003","FQ1 2003","Currency=USD","Period=FQ","BEST_FPERIOD_OVERRIDE=FQ","FILING_STATUS=OR","SCALING_FORMAT=MLN","Sort=A","Dates=H","DateFormat=P","Fill=—","Direction=H","UseDPDF=Y")</f>
        <v>37652</v>
      </c>
      <c r="V35" s="16">
        <f>_xll.BDH("XOM US Equity","BS_CUR_LIAB","FQ2 2003","FQ2 2003","Currency=USD","Period=FQ","BEST_FPERIOD_OVERRIDE=FQ","FILING_STATUS=OR","SCALING_FORMAT=MLN","Sort=A","Dates=H","DateFormat=P","Fill=—","Direction=H","UseDPDF=Y")</f>
        <v>36648</v>
      </c>
      <c r="W35" s="16">
        <f>_xll.BDH("XOM US Equity","BS_CUR_LIAB","FQ3 2003","FQ3 2003","Currency=USD","Period=FQ","BEST_FPERIOD_OVERRIDE=FQ","FILING_STATUS=OR","SCALING_FORMAT=MLN","Sort=A","Dates=H","DateFormat=P","Fill=—","Direction=H","UseDPDF=Y")</f>
        <v>38641</v>
      </c>
      <c r="X35" s="16">
        <f>_xll.BDH("XOM US Equity","BS_CUR_LIAB","FQ4 2003","FQ4 2003","Currency=USD","Period=FQ","BEST_FPERIOD_OVERRIDE=FQ","FILING_STATUS=OR","SCALING_FORMAT=MLN","Sort=A","Dates=H","DateFormat=P","Fill=—","Direction=H","UseDPDF=Y")</f>
        <v>38386</v>
      </c>
      <c r="Y35" s="16">
        <f>_xll.BDH("XOM US Equity","BS_CUR_LIAB","FQ1 2004","FQ1 2004","Currency=USD","Period=FQ","BEST_FPERIOD_OVERRIDE=FQ","FILING_STATUS=OR","SCALING_FORMAT=MLN","Sort=A","Dates=H","DateFormat=P","Fill=—","Direction=H","UseDPDF=Y")</f>
        <v>41955</v>
      </c>
      <c r="Z35" s="16">
        <f>_xll.BDH("XOM US Equity","BS_CUR_LIAB","FQ2 2004","FQ2 2004","Currency=USD","Period=FQ","BEST_FPERIOD_OVERRIDE=FQ","FILING_STATUS=OR","SCALING_FORMAT=MLN","Sort=A","Dates=H","DateFormat=P","Fill=—","Direction=H","UseDPDF=Y")</f>
        <v>41248</v>
      </c>
      <c r="AA35" s="16">
        <f>_xll.BDH("XOM US Equity","BS_CUR_LIAB","FQ3 2004","FQ3 2004","Currency=USD","Period=FQ","BEST_FPERIOD_OVERRIDE=FQ","FILING_STATUS=OR","SCALING_FORMAT=MLN","Sort=A","Dates=H","DateFormat=P","Fill=—","Direction=H","UseDPDF=Y")</f>
        <v>44195</v>
      </c>
      <c r="AB35" s="16">
        <f>_xll.BDH("XOM US Equity","BS_CUR_LIAB","FQ4 2004","FQ4 2004","Currency=USD","Period=FQ","BEST_FPERIOD_OVERRIDE=FQ","FILING_STATUS=OR","SCALING_FORMAT=MLN","Sort=A","Dates=H","DateFormat=P","Fill=—","Direction=H","UseDPDF=Y")</f>
        <v>42981</v>
      </c>
      <c r="AC35" s="16">
        <f>_xll.BDH("XOM US Equity","BS_CUR_LIAB","FQ1 2005","FQ1 2005","Currency=USD","Period=FQ","BEST_FPERIOD_OVERRIDE=FQ","FILING_STATUS=OR","SCALING_FORMAT=MLN","Sort=A","Dates=H","DateFormat=P","Fill=—","Direction=H","UseDPDF=Y")</f>
        <v>47757</v>
      </c>
      <c r="AD35" s="16">
        <f>_xll.BDH("XOM US Equity","BS_CUR_LIAB","FQ2 2005","FQ2 2005","Currency=USD","Period=FQ","BEST_FPERIOD_OVERRIDE=FQ","FILING_STATUS=OR","SCALING_FORMAT=MLN","Sort=A","Dates=H","DateFormat=P","Fill=—","Direction=H","UseDPDF=Y")</f>
        <v>46629</v>
      </c>
      <c r="AE35" s="16">
        <f>_xll.BDH("XOM US Equity","BS_CUR_LIAB","FQ3 2005","FQ3 2005","Currency=USD","Period=FQ","BEST_FPERIOD_OVERRIDE=FQ","FILING_STATUS=OR","SCALING_FORMAT=MLN","Sort=A","Dates=H","DateFormat=P","Fill=—","Direction=H","UseDPDF=Y")</f>
        <v>50875</v>
      </c>
      <c r="AF35" s="16">
        <f>_xll.BDH("XOM US Equity","BS_CUR_LIAB","FQ4 2005","FQ4 2005","Currency=USD","Period=FQ","BEST_FPERIOD_OVERRIDE=FQ","FILING_STATUS=OR","SCALING_FORMAT=MLN","Sort=A","Dates=H","DateFormat=P","Fill=—","Direction=H","UseDPDF=Y")</f>
        <v>46307</v>
      </c>
      <c r="AG35" s="16">
        <f>_xll.BDH("XOM US Equity","BS_CUR_LIAB","FQ1 2006","FQ1 2006","Currency=USD","Period=FQ","BEST_FPERIOD_OVERRIDE=FQ","FILING_STATUS=OR","SCALING_FORMAT=MLN","Sort=A","Dates=H","DateFormat=P","Fill=—","Direction=H","UseDPDF=Y")</f>
        <v>51434</v>
      </c>
      <c r="AH35" s="16">
        <f>_xll.BDH("XOM US Equity","BS_CUR_LIAB","FQ2 2006","FQ2 2006","Currency=USD","Period=FQ","BEST_FPERIOD_OVERRIDE=FQ","FILING_STATUS=OR","SCALING_FORMAT=MLN","Sort=A","Dates=H","DateFormat=P","Fill=—","Direction=H","UseDPDF=Y")</f>
        <v>51554</v>
      </c>
      <c r="AI35" s="16">
        <f>_xll.BDH("XOM US Equity","BS_CUR_LIAB","FQ3 2006","FQ3 2006","Currency=USD","Period=FQ","BEST_FPERIOD_OVERRIDE=FQ","FILING_STATUS=OR","SCALING_FORMAT=MLN","Sort=A","Dates=H","DateFormat=P","Fill=—","Direction=H","UseDPDF=Y")</f>
        <v>54804</v>
      </c>
      <c r="AJ35" s="16">
        <f>_xll.BDH("XOM US Equity","BS_CUR_LIAB","FQ4 2006","FQ4 2006","Currency=USD","Period=FQ","BEST_FPERIOD_OVERRIDE=FQ","FILING_STATUS=OR","SCALING_FORMAT=MLN","Sort=A","Dates=H","DateFormat=P","Fill=—","Direction=H","UseDPDF=Y")</f>
        <v>48817</v>
      </c>
      <c r="AK35" s="16">
        <f>_xll.BDH("XOM US Equity","BS_CUR_LIAB","FQ1 2007","FQ1 2007","Currency=USD","Period=FQ","BEST_FPERIOD_OVERRIDE=FQ","FILING_STATUS=OR","SCALING_FORMAT=MLN","Sort=A","Dates=H","DateFormat=P","Fill=—","Direction=H","UseDPDF=Y")</f>
        <v>50590</v>
      </c>
      <c r="AL35" s="16">
        <f>_xll.BDH("XOM US Equity","BS_CUR_LIAB","FQ2 2007","FQ2 2007","Currency=USD","Period=FQ","BEST_FPERIOD_OVERRIDE=FQ","FILING_STATUS=OR","SCALING_FORMAT=MLN","Sort=A","Dates=H","DateFormat=P","Fill=—","Direction=H","UseDPDF=Y")</f>
        <v>51916</v>
      </c>
      <c r="AM35" s="16">
        <f>_xll.BDH("XOM US Equity","BS_CUR_LIAB","FQ3 2007","FQ3 2007","Currency=USD","Period=FQ","BEST_FPERIOD_OVERRIDE=FQ","FILING_STATUS=OR","SCALING_FORMAT=MLN","Sort=A","Dates=H","DateFormat=P","Fill=—","Direction=H","UseDPDF=Y")</f>
        <v>55920</v>
      </c>
      <c r="AN35" s="16">
        <f>_xll.BDH("XOM US Equity","BS_CUR_LIAB","FQ4 2007","FQ4 2007","Currency=USD","Period=FQ","BEST_FPERIOD_OVERRIDE=FQ","FILING_STATUS=OR","SCALING_FORMAT=MLN","Sort=A","Dates=H","DateFormat=P","Fill=—","Direction=H","UseDPDF=Y")</f>
        <v>58312</v>
      </c>
      <c r="AO35" s="16">
        <f>_xll.BDH("XOM US Equity","BS_CUR_LIAB","FQ1 2008","FQ1 2008","Currency=USD","Period=FQ","BEST_FPERIOD_OVERRIDE=FQ","FILING_STATUS=OR","SCALING_FORMAT=MLN","Sort=A","Dates=H","DateFormat=P","Fill=—","Direction=H","UseDPDF=Y")</f>
        <v>70983</v>
      </c>
      <c r="AP35" s="16">
        <f>_xll.BDH("XOM US Equity","BS_CUR_LIAB","FQ2 2008","FQ2 2008","Currency=USD","Period=FQ","BEST_FPERIOD_OVERRIDE=FQ","FILING_STATUS=OR","SCALING_FORMAT=MLN","Sort=A","Dates=H","DateFormat=P","Fill=—","Direction=H","UseDPDF=Y")</f>
        <v>77233</v>
      </c>
    </row>
    <row r="36" spans="1:42" x14ac:dyDescent="0.25">
      <c r="A36" s="10" t="s">
        <v>231</v>
      </c>
      <c r="B36" s="10" t="s">
        <v>232</v>
      </c>
      <c r="C36" s="13">
        <f>_xll.BDH("XOM US Equity","BS_LT_BORROW","FQ3 1998","FQ3 1998","Currency=USD","Period=FQ","BEST_FPERIOD_OVERRIDE=FQ","FILING_STATUS=OR","SCALING_FORMAT=MLN","Sort=A","Dates=H","DateFormat=P","Fill=—","Direction=H","UseDPDF=Y")</f>
        <v>6912</v>
      </c>
      <c r="D36" s="13">
        <f>_xll.BDH("XOM US Equity","BS_LT_BORROW","FQ4 1998","FQ4 1998","Currency=USD","Period=FQ","BEST_FPERIOD_OVERRIDE=FQ","FILING_STATUS=OR","SCALING_FORMAT=MLN","Sort=A","Dates=H","DateFormat=P","Fill=—","Direction=H","UseDPDF=Y")</f>
        <v>4530</v>
      </c>
      <c r="E36" s="13">
        <f>_xll.BDH("XOM US Equity","BS_LT_BORROW","FQ1 1999","FQ1 1999","Currency=USD","Period=FQ","BEST_FPERIOD_OVERRIDE=FQ","FILING_STATUS=OR","SCALING_FORMAT=MLN","Sort=A","Dates=H","DateFormat=P","Fill=—","Direction=H","UseDPDF=Y")</f>
        <v>4563</v>
      </c>
      <c r="F36" s="13">
        <f>_xll.BDH("XOM US Equity","BS_LT_BORROW","FQ2 1999","FQ2 1999","Currency=USD","Period=FQ","BEST_FPERIOD_OVERRIDE=FQ","FILING_STATUS=OR","SCALING_FORMAT=MLN","Sort=A","Dates=H","DateFormat=P","Fill=—","Direction=H","UseDPDF=Y")</f>
        <v>4497</v>
      </c>
      <c r="G36" s="13">
        <f>_xll.BDH("XOM US Equity","BS_LT_BORROW","FQ3 1999","FQ3 1999","Currency=USD","Period=FQ","BEST_FPERIOD_OVERRIDE=FQ","FILING_STATUS=OR","SCALING_FORMAT=MLN","Sort=A","Dates=H","DateFormat=P","Fill=—","Direction=H","UseDPDF=Y")</f>
        <v>4425</v>
      </c>
      <c r="H36" s="13">
        <f>_xll.BDH("XOM US Equity","BS_LT_BORROW","FQ4 1999","FQ4 1999","Currency=USD","Period=FQ","BEST_FPERIOD_OVERRIDE=FQ","FILING_STATUS=OR","SCALING_FORMAT=MLN","Sort=A","Dates=H","DateFormat=P","Fill=—","Direction=H","UseDPDF=Y")</f>
        <v>8402</v>
      </c>
      <c r="I36" s="13">
        <f>_xll.BDH("XOM US Equity","BS_LT_BORROW","FQ1 2000","FQ1 2000","Currency=USD","Period=FQ","BEST_FPERIOD_OVERRIDE=FQ","FILING_STATUS=OR","SCALING_FORMAT=MLN","Sort=A","Dates=H","DateFormat=P","Fill=—","Direction=H","UseDPDF=Y")</f>
        <v>8009</v>
      </c>
      <c r="J36" s="13">
        <f>_xll.BDH("XOM US Equity","BS_LT_BORROW","FQ2 2000","FQ2 2000","Currency=USD","Period=FQ","BEST_FPERIOD_OVERRIDE=FQ","FILING_STATUS=OR","SCALING_FORMAT=MLN","Sort=A","Dates=H","DateFormat=P","Fill=—","Direction=H","UseDPDF=Y")</f>
        <v>8009</v>
      </c>
      <c r="K36" s="13">
        <f>_xll.BDH("XOM US Equity","BS_LT_BORROW","FQ3 2000","FQ3 2000","Currency=USD","Period=FQ","BEST_FPERIOD_OVERRIDE=FQ","FILING_STATUS=OR","SCALING_FORMAT=MLN","Sort=A","Dates=H","DateFormat=P","Fill=—","Direction=H","UseDPDF=Y")</f>
        <v>7528</v>
      </c>
      <c r="L36" s="13">
        <f>_xll.BDH("XOM US Equity","BS_LT_BORROW","FQ4 2000","FQ4 2000","Currency=USD","Period=FQ","BEST_FPERIOD_OVERRIDE=FQ","FILING_STATUS=OR","SCALING_FORMAT=MLN","Sort=A","Dates=H","DateFormat=P","Fill=—","Direction=H","UseDPDF=Y")</f>
        <v>7280</v>
      </c>
      <c r="M36" s="13">
        <f>_xll.BDH("XOM US Equity","BS_LT_BORROW","FQ1 2001","FQ1 2001","Currency=USD","Period=FQ","BEST_FPERIOD_OVERRIDE=FQ","FILING_STATUS=OR","SCALING_FORMAT=MLN","Sort=A","Dates=H","DateFormat=P","Fill=—","Direction=H","UseDPDF=Y")</f>
        <v>7270</v>
      </c>
      <c r="N36" s="13">
        <f>_xll.BDH("XOM US Equity","BS_LT_BORROW","FQ2 2001","FQ2 2001","Currency=USD","Period=FQ","BEST_FPERIOD_OVERRIDE=FQ","FILING_STATUS=OR","SCALING_FORMAT=MLN","Sort=A","Dates=H","DateFormat=P","Fill=—","Direction=H","UseDPDF=Y")</f>
        <v>7289</v>
      </c>
      <c r="O36" s="13">
        <f>_xll.BDH("XOM US Equity","BS_LT_BORROW","FQ3 2001","FQ3 2001","Currency=USD","Period=FQ","BEST_FPERIOD_OVERRIDE=FQ","FILING_STATUS=OR","SCALING_FORMAT=MLN","Sort=A","Dates=H","DateFormat=P","Fill=—","Direction=H","UseDPDF=Y")</f>
        <v>7240</v>
      </c>
      <c r="P36" s="13">
        <f>_xll.BDH("XOM US Equity","BS_LT_BORROW","FQ4 2001","FQ4 2001","Currency=USD","Period=FQ","BEST_FPERIOD_OVERRIDE=FQ","FILING_STATUS=OR","SCALING_FORMAT=MLN","Sort=A","Dates=H","DateFormat=P","Fill=—","Direction=H","UseDPDF=Y")</f>
        <v>7099</v>
      </c>
      <c r="Q36" s="13">
        <f>_xll.BDH("XOM US Equity","BS_LT_BORROW","FQ1 2002","FQ1 2002","Currency=USD","Period=FQ","BEST_FPERIOD_OVERRIDE=FQ","FILING_STATUS=OR","SCALING_FORMAT=MLN","Sort=A","Dates=H","DateFormat=P","Fill=—","Direction=H","UseDPDF=Y")</f>
        <v>7118</v>
      </c>
      <c r="R36" s="13">
        <f>_xll.BDH("XOM US Equity","BS_LT_BORROW","FQ2 2002","FQ2 2002","Currency=USD","Period=FQ","BEST_FPERIOD_OVERRIDE=FQ","FILING_STATUS=OR","SCALING_FORMAT=MLN","Sort=A","Dates=H","DateFormat=P","Fill=—","Direction=H","UseDPDF=Y")</f>
        <v>7607</v>
      </c>
      <c r="S36" s="13">
        <f>_xll.BDH("XOM US Equity","BS_LT_BORROW","FQ3 2002","FQ3 2002","Currency=USD","Period=FQ","BEST_FPERIOD_OVERRIDE=FQ","FILING_STATUS=OR","SCALING_FORMAT=MLN","Sort=A","Dates=H","DateFormat=P","Fill=—","Direction=H","UseDPDF=Y")</f>
        <v>7110</v>
      </c>
      <c r="T36" s="13">
        <f>_xll.BDH("XOM US Equity","BS_LT_BORROW","FQ4 2002","FQ4 2002","Currency=USD","Period=FQ","BEST_FPERIOD_OVERRIDE=FQ","FILING_STATUS=OR","SCALING_FORMAT=MLN","Sort=A","Dates=H","DateFormat=P","Fill=—","Direction=H","UseDPDF=Y")</f>
        <v>6655</v>
      </c>
      <c r="U36" s="13">
        <f>_xll.BDH("XOM US Equity","BS_LT_BORROW","FQ1 2003","FQ1 2003","Currency=USD","Period=FQ","BEST_FPERIOD_OVERRIDE=FQ","FILING_STATUS=OR","SCALING_FORMAT=MLN","Sort=A","Dates=H","DateFormat=P","Fill=—","Direction=H","UseDPDF=Y")</f>
        <v>6489</v>
      </c>
      <c r="V36" s="13">
        <f>_xll.BDH("XOM US Equity","BS_LT_BORROW","FQ2 2003","FQ2 2003","Currency=USD","Period=FQ","BEST_FPERIOD_OVERRIDE=FQ","FILING_STATUS=OR","SCALING_FORMAT=MLN","Sort=A","Dates=H","DateFormat=P","Fill=—","Direction=H","UseDPDF=Y")</f>
        <v>5811</v>
      </c>
      <c r="W36" s="13">
        <f>_xll.BDH("XOM US Equity","BS_LT_BORROW","FQ3 2003","FQ3 2003","Currency=USD","Period=FQ","BEST_FPERIOD_OVERRIDE=FQ","FILING_STATUS=OR","SCALING_FORMAT=MLN","Sort=A","Dates=H","DateFormat=P","Fill=—","Direction=H","UseDPDF=Y")</f>
        <v>5615</v>
      </c>
      <c r="X36" s="13">
        <f>_xll.BDH("XOM US Equity","BS_LT_BORROW","FQ4 2003","FQ4 2003","Currency=USD","Period=FQ","BEST_FPERIOD_OVERRIDE=FQ","FILING_STATUS=OR","SCALING_FORMAT=MLN","Sort=A","Dates=H","DateFormat=P","Fill=—","Direction=H","UseDPDF=Y")</f>
        <v>4756</v>
      </c>
      <c r="Y36" s="13">
        <f>_xll.BDH("XOM US Equity","BS_LT_BORROW","FQ1 2004","FQ1 2004","Currency=USD","Period=FQ","BEST_FPERIOD_OVERRIDE=FQ","FILING_STATUS=OR","SCALING_FORMAT=MLN","Sort=A","Dates=H","DateFormat=P","Fill=—","Direction=H","UseDPDF=Y")</f>
        <v>5135</v>
      </c>
      <c r="Z36" s="13">
        <f>_xll.BDH("XOM US Equity","BS_LT_BORROW","FQ2 2004","FQ2 2004","Currency=USD","Period=FQ","BEST_FPERIOD_OVERRIDE=FQ","FILING_STATUS=OR","SCALING_FORMAT=MLN","Sort=A","Dates=H","DateFormat=P","Fill=—","Direction=H","UseDPDF=Y")</f>
        <v>5084</v>
      </c>
      <c r="AA36" s="13">
        <f>_xll.BDH("XOM US Equity","BS_LT_BORROW","FQ3 2004","FQ3 2004","Currency=USD","Period=FQ","BEST_FPERIOD_OVERRIDE=FQ","FILING_STATUS=OR","SCALING_FORMAT=MLN","Sort=A","Dates=H","DateFormat=P","Fill=—","Direction=H","UseDPDF=Y")</f>
        <v>5196</v>
      </c>
      <c r="AB36" s="13">
        <f>_xll.BDH("XOM US Equity","BS_LT_BORROW","FQ4 2004","FQ4 2004","Currency=USD","Period=FQ","BEST_FPERIOD_OVERRIDE=FQ","FILING_STATUS=OR","SCALING_FORMAT=MLN","Sort=A","Dates=H","DateFormat=P","Fill=—","Direction=H","UseDPDF=Y")</f>
        <v>5013</v>
      </c>
      <c r="AC36" s="13">
        <f>_xll.BDH("XOM US Equity","BS_LT_BORROW","FQ1 2005","FQ1 2005","Currency=USD","Period=FQ","BEST_FPERIOD_OVERRIDE=FQ","FILING_STATUS=OR","SCALING_FORMAT=MLN","Sort=A","Dates=H","DateFormat=P","Fill=—","Direction=H","UseDPDF=Y")</f>
        <v>5015</v>
      </c>
      <c r="AD36" s="13">
        <f>_xll.BDH("XOM US Equity","BS_LT_BORROW","FQ2 2005","FQ2 2005","Currency=USD","Period=FQ","BEST_FPERIOD_OVERRIDE=FQ","FILING_STATUS=OR","SCALING_FORMAT=MLN","Sort=A","Dates=H","DateFormat=P","Fill=—","Direction=H","UseDPDF=Y")</f>
        <v>6071</v>
      </c>
      <c r="AE36" s="13">
        <f>_xll.BDH("XOM US Equity","BS_LT_BORROW","FQ3 2005","FQ3 2005","Currency=USD","Period=FQ","BEST_FPERIOD_OVERRIDE=FQ","FILING_STATUS=OR","SCALING_FORMAT=MLN","Sort=A","Dates=H","DateFormat=P","Fill=—","Direction=H","UseDPDF=Y")</f>
        <v>6126</v>
      </c>
      <c r="AF36" s="13">
        <f>_xll.BDH("XOM US Equity","BS_LT_BORROW","FQ4 2005","FQ4 2005","Currency=USD","Period=FQ","BEST_FPERIOD_OVERRIDE=FQ","FILING_STATUS=OR","SCALING_FORMAT=MLN","Sort=A","Dates=H","DateFormat=P","Fill=—","Direction=H","UseDPDF=Y")</f>
        <v>6220</v>
      </c>
      <c r="AG36" s="13">
        <f>_xll.BDH("XOM US Equity","BS_LT_BORROW","FQ1 2006","FQ1 2006","Currency=USD","Period=FQ","BEST_FPERIOD_OVERRIDE=FQ","FILING_STATUS=OR","SCALING_FORMAT=MLN","Sort=A","Dates=H","DateFormat=P","Fill=—","Direction=H","UseDPDF=Y")</f>
        <v>6255</v>
      </c>
      <c r="AH36" s="13">
        <f>_xll.BDH("XOM US Equity","BS_LT_BORROW","FQ2 2006","FQ2 2006","Currency=USD","Period=FQ","BEST_FPERIOD_OVERRIDE=FQ","FILING_STATUS=OR","SCALING_FORMAT=MLN","Sort=A","Dates=H","DateFormat=P","Fill=—","Direction=H","UseDPDF=Y")</f>
        <v>6393</v>
      </c>
      <c r="AI36" s="13">
        <f>_xll.BDH("XOM US Equity","BS_LT_BORROW","FQ3 2006","FQ3 2006","Currency=USD","Period=FQ","BEST_FPERIOD_OVERRIDE=FQ","FILING_STATUS=OR","SCALING_FORMAT=MLN","Sort=A","Dates=H","DateFormat=P","Fill=—","Direction=H","UseDPDF=Y")</f>
        <v>6464</v>
      </c>
      <c r="AJ36" s="13">
        <f>_xll.BDH("XOM US Equity","BS_LT_BORROW","FQ4 2006","FQ4 2006","Currency=USD","Period=FQ","BEST_FPERIOD_OVERRIDE=FQ","FILING_STATUS=OR","SCALING_FORMAT=MLN","Sort=A","Dates=H","DateFormat=P","Fill=—","Direction=H","UseDPDF=Y")</f>
        <v>6645</v>
      </c>
      <c r="AK36" s="13">
        <f>_xll.BDH("XOM US Equity","BS_LT_BORROW","FQ1 2007","FQ1 2007","Currency=USD","Period=FQ","BEST_FPERIOD_OVERRIDE=FQ","FILING_STATUS=OR","SCALING_FORMAT=MLN","Sort=A","Dates=H","DateFormat=P","Fill=—","Direction=H","UseDPDF=Y")</f>
        <v>6758</v>
      </c>
      <c r="AL36" s="13">
        <f>_xll.BDH("XOM US Equity","BS_LT_BORROW","FQ2 2007","FQ2 2007","Currency=USD","Period=FQ","BEST_FPERIOD_OVERRIDE=FQ","FILING_STATUS=OR","SCALING_FORMAT=MLN","Sort=A","Dates=H","DateFormat=P","Fill=—","Direction=H","UseDPDF=Y")</f>
        <v>6757</v>
      </c>
      <c r="AM36" s="13">
        <f>_xll.BDH("XOM US Equity","BS_LT_BORROW","FQ3 2007","FQ3 2007","Currency=USD","Period=FQ","BEST_FPERIOD_OVERRIDE=FQ","FILING_STATUS=OR","SCALING_FORMAT=MLN","Sort=A","Dates=H","DateFormat=P","Fill=—","Direction=H","UseDPDF=Y")</f>
        <v>6896</v>
      </c>
      <c r="AN36" s="13">
        <f>_xll.BDH("XOM US Equity","BS_LT_BORROW","FQ4 2007","FQ4 2007","Currency=USD","Period=FQ","BEST_FPERIOD_OVERRIDE=FQ","FILING_STATUS=OR","SCALING_FORMAT=MLN","Sort=A","Dates=H","DateFormat=P","Fill=—","Direction=H","UseDPDF=Y")</f>
        <v>7183</v>
      </c>
      <c r="AO36" s="13">
        <f>_xll.BDH("XOM US Equity","BS_LT_BORROW","FQ1 2008","FQ1 2008","Currency=USD","Period=FQ","BEST_FPERIOD_OVERRIDE=FQ","FILING_STATUS=OR","SCALING_FORMAT=MLN","Sort=A","Dates=H","DateFormat=P","Fill=—","Direction=H","UseDPDF=Y")</f>
        <v>7235</v>
      </c>
      <c r="AP36" s="13">
        <f>_xll.BDH("XOM US Equity","BS_LT_BORROW","FQ2 2008","FQ2 2008","Currency=USD","Period=FQ","BEST_FPERIOD_OVERRIDE=FQ","FILING_STATUS=OR","SCALING_FORMAT=MLN","Sort=A","Dates=H","DateFormat=P","Fill=—","Direction=H","UseDPDF=Y")</f>
        <v>7327</v>
      </c>
    </row>
    <row r="37" spans="1:42" x14ac:dyDescent="0.25">
      <c r="A37" s="10" t="s">
        <v>233</v>
      </c>
      <c r="B37" s="10" t="s">
        <v>234</v>
      </c>
      <c r="C37" s="13">
        <f>_xll.BDH("XOM US Equity","OTHER_NONCUR_LIABS_SUB_DETAILED","FQ3 1998","FQ3 1998","Currency=USD","Period=FQ","BEST_FPERIOD_OVERRIDE=FQ","FILING_STATUS=OR","SCALING_FORMAT=MLN","Sort=A","Dates=H","DateFormat=P","Fill=—","Direction=H","UseDPDF=Y")</f>
        <v>25791</v>
      </c>
      <c r="D37" s="13">
        <f>_xll.BDH("XOM US Equity","OTHER_NONCUR_LIABS_SUB_DETAILED","FQ4 1998","FQ4 1998","Currency=USD","Period=FQ","BEST_FPERIOD_OVERRIDE=FQ","FILING_STATUS=OR","SCALING_FORMAT=MLN","Sort=A","Dates=H","DateFormat=P","Fill=—","Direction=H","UseDPDF=Y")</f>
        <v>23131</v>
      </c>
      <c r="E37" s="13">
        <f>_xll.BDH("XOM US Equity","OTHER_NONCUR_LIABS_SUB_DETAILED","FQ1 1999","FQ1 1999","Currency=USD","Period=FQ","BEST_FPERIOD_OVERRIDE=FQ","FILING_STATUS=OR","SCALING_FORMAT=MLN","Sort=A","Dates=H","DateFormat=P","Fill=—","Direction=H","UseDPDF=Y")</f>
        <v>24294</v>
      </c>
      <c r="F37" s="13">
        <f>_xll.BDH("XOM US Equity","OTHER_NONCUR_LIABS_SUB_DETAILED","FQ2 1999","FQ2 1999","Currency=USD","Period=FQ","BEST_FPERIOD_OVERRIDE=FQ","FILING_STATUS=OR","SCALING_FORMAT=MLN","Sort=A","Dates=H","DateFormat=P","Fill=—","Direction=H","UseDPDF=Y")</f>
        <v>24199</v>
      </c>
      <c r="G37" s="13">
        <f>_xll.BDH("XOM US Equity","OTHER_NONCUR_LIABS_SUB_DETAILED","FQ3 1999","FQ3 1999","Currency=USD","Period=FQ","BEST_FPERIOD_OVERRIDE=FQ","FILING_STATUS=OR","SCALING_FORMAT=MLN","Sort=A","Dates=H","DateFormat=P","Fill=—","Direction=H","UseDPDF=Y")</f>
        <v>24556</v>
      </c>
      <c r="H37" s="13">
        <f>_xll.BDH("XOM US Equity","OTHER_NONCUR_LIABS_SUB_DETAILED","FQ4 1999","FQ4 1999","Currency=USD","Period=FQ","BEST_FPERIOD_OVERRIDE=FQ","FILING_STATUS=OR","SCALING_FORMAT=MLN","Sort=A","Dates=H","DateFormat=P","Fill=—","Direction=H","UseDPDF=Y")</f>
        <v>30232</v>
      </c>
      <c r="I37" s="13">
        <f>_xll.BDH("XOM US Equity","OTHER_NONCUR_LIABS_SUB_DETAILED","FQ1 2000","FQ1 2000","Currency=USD","Period=FQ","BEST_FPERIOD_OVERRIDE=FQ","FILING_STATUS=OR","SCALING_FORMAT=MLN","Sort=A","Dates=H","DateFormat=P","Fill=—","Direction=H","UseDPDF=Y")</f>
        <v>33403</v>
      </c>
      <c r="J37" s="13">
        <f>_xll.BDH("XOM US Equity","OTHER_NONCUR_LIABS_SUB_DETAILED","FQ2 2000","FQ2 2000","Currency=USD","Period=FQ","BEST_FPERIOD_OVERRIDE=FQ","FILING_STATUS=OR","SCALING_FORMAT=MLN","Sort=A","Dates=H","DateFormat=P","Fill=—","Direction=H","UseDPDF=Y")</f>
        <v>33081</v>
      </c>
      <c r="K37" s="13">
        <f>_xll.BDH("XOM US Equity","OTHER_NONCUR_LIABS_SUB_DETAILED","FQ3 2000","FQ3 2000","Currency=USD","Period=FQ","BEST_FPERIOD_OVERRIDE=FQ","FILING_STATUS=OR","SCALING_FORMAT=MLN","Sort=A","Dates=H","DateFormat=P","Fill=—","Direction=H","UseDPDF=Y")</f>
        <v>32838</v>
      </c>
      <c r="L37" s="13">
        <f>_xll.BDH("XOM US Equity","OTHER_NONCUR_LIABS_SUB_DETAILED","FQ4 2000","FQ4 2000","Currency=USD","Period=FQ","BEST_FPERIOD_OVERRIDE=FQ","FILING_STATUS=OR","SCALING_FORMAT=MLN","Sort=A","Dates=H","DateFormat=P","Fill=—","Direction=H","UseDPDF=Y")</f>
        <v>29542</v>
      </c>
      <c r="M37" s="13">
        <f>_xll.BDH("XOM US Equity","OTHER_NONCUR_LIABS_SUB_DETAILED","FQ1 2001","FQ1 2001","Currency=USD","Period=FQ","BEST_FPERIOD_OVERRIDE=FQ","FILING_STATUS=OR","SCALING_FORMAT=MLN","Sort=A","Dates=H","DateFormat=P","Fill=—","Direction=H","UseDPDF=Y")</f>
        <v>32266</v>
      </c>
      <c r="N37" s="13">
        <f>_xll.BDH("XOM US Equity","OTHER_NONCUR_LIABS_SUB_DETAILED","FQ2 2001","FQ2 2001","Currency=USD","Period=FQ","BEST_FPERIOD_OVERRIDE=FQ","FILING_STATUS=OR","SCALING_FORMAT=MLN","Sort=A","Dates=H","DateFormat=P","Fill=—","Direction=H","UseDPDF=Y")</f>
        <v>31783</v>
      </c>
      <c r="O37" s="13">
        <f>_xll.BDH("XOM US Equity","OTHER_NONCUR_LIABS_SUB_DETAILED","FQ3 2001","FQ3 2001","Currency=USD","Period=FQ","BEST_FPERIOD_OVERRIDE=FQ","FILING_STATUS=OR","SCALING_FORMAT=MLN","Sort=A","Dates=H","DateFormat=P","Fill=—","Direction=H","UseDPDF=Y")</f>
        <v>32274</v>
      </c>
      <c r="P37" s="13">
        <f>_xll.BDH("XOM US Equity","OTHER_NONCUR_LIABS_SUB_DETAILED","FQ4 2001","FQ4 2001","Currency=USD","Period=FQ","BEST_FPERIOD_OVERRIDE=FQ","FILING_STATUS=OR","SCALING_FORMAT=MLN","Sort=A","Dates=H","DateFormat=P","Fill=—","Direction=H","UseDPDF=Y")</f>
        <v>29975</v>
      </c>
      <c r="Q37" s="13">
        <f>_xll.BDH("XOM US Equity","OTHER_NONCUR_LIABS_SUB_DETAILED","FQ1 2002","FQ1 2002","Currency=USD","Period=FQ","BEST_FPERIOD_OVERRIDE=FQ","FILING_STATUS=OR","SCALING_FORMAT=MLN","Sort=A","Dates=H","DateFormat=P","Fill=—","Direction=H","UseDPDF=Y")</f>
        <v>32374</v>
      </c>
      <c r="R37" s="13">
        <f>_xll.BDH("XOM US Equity","OTHER_NONCUR_LIABS_SUB_DETAILED","FQ2 2002","FQ2 2002","Currency=USD","Period=FQ","BEST_FPERIOD_OVERRIDE=FQ","FILING_STATUS=OR","SCALING_FORMAT=MLN","Sort=A","Dates=H","DateFormat=P","Fill=—","Direction=H","UseDPDF=Y")</f>
        <v>34265</v>
      </c>
      <c r="S37" s="13">
        <f>_xll.BDH("XOM US Equity","OTHER_NONCUR_LIABS_SUB_DETAILED","FQ3 2002","FQ3 2002","Currency=USD","Period=FQ","BEST_FPERIOD_OVERRIDE=FQ","FILING_STATUS=OR","SCALING_FORMAT=MLN","Sort=A","Dates=H","DateFormat=P","Fill=—","Direction=H","UseDPDF=Y")</f>
        <v>34614</v>
      </c>
      <c r="T37" s="13">
        <f>_xll.BDH("XOM US Equity","OTHER_NONCUR_LIABS_SUB_DETAILED","FQ4 2002","FQ4 2002","Currency=USD","Period=FQ","BEST_FPERIOD_OVERRIDE=FQ","FILING_STATUS=OR","SCALING_FORMAT=MLN","Sort=A","Dates=H","DateFormat=P","Fill=—","Direction=H","UseDPDF=Y")</f>
        <v>35449</v>
      </c>
      <c r="U37" s="13">
        <f>_xll.BDH("XOM US Equity","OTHER_NONCUR_LIABS_SUB_DETAILED","FQ1 2003","FQ1 2003","Currency=USD","Period=FQ","BEST_FPERIOD_OVERRIDE=FQ","FILING_STATUS=OR","SCALING_FORMAT=MLN","Sort=A","Dates=H","DateFormat=P","Fill=—","Direction=H","UseDPDF=Y")</f>
        <v>38769</v>
      </c>
      <c r="V37" s="13">
        <f>_xll.BDH("XOM US Equity","OTHER_NONCUR_LIABS_SUB_DETAILED","FQ2 2003","FQ2 2003","Currency=USD","Period=FQ","BEST_FPERIOD_OVERRIDE=FQ","FILING_STATUS=OR","SCALING_FORMAT=MLN","Sort=A","Dates=H","DateFormat=P","Fill=—","Direction=H","UseDPDF=Y")</f>
        <v>40063</v>
      </c>
      <c r="W37" s="13">
        <f>_xll.BDH("XOM US Equity","OTHER_NONCUR_LIABS_SUB_DETAILED","FQ3 2003","FQ3 2003","Currency=USD","Period=FQ","BEST_FPERIOD_OVERRIDE=FQ","FILING_STATUS=OR","SCALING_FORMAT=MLN","Sort=A","Dates=H","DateFormat=P","Fill=—","Direction=H","UseDPDF=Y")</f>
        <v>38967</v>
      </c>
      <c r="X37" s="13">
        <f>_xll.BDH("XOM US Equity","OTHER_NONCUR_LIABS_SUB_DETAILED","FQ4 2003","FQ4 2003","Currency=USD","Period=FQ","BEST_FPERIOD_OVERRIDE=FQ","FILING_STATUS=OR","SCALING_FORMAT=MLN","Sort=A","Dates=H","DateFormat=P","Fill=—","Direction=H","UseDPDF=Y")</f>
        <v>37839</v>
      </c>
      <c r="Y37" s="13">
        <f>_xll.BDH("XOM US Equity","OTHER_NONCUR_LIABS_SUB_DETAILED","FQ1 2004","FQ1 2004","Currency=USD","Period=FQ","BEST_FPERIOD_OVERRIDE=FQ","FILING_STATUS=OR","SCALING_FORMAT=MLN","Sort=A","Dates=H","DateFormat=P","Fill=—","Direction=H","UseDPDF=Y")</f>
        <v>41431</v>
      </c>
      <c r="Z37" s="13">
        <f>_xll.BDH("XOM US Equity","OTHER_NONCUR_LIABS_SUB_DETAILED","FQ2 2004","FQ2 2004","Currency=USD","Period=FQ","BEST_FPERIOD_OVERRIDE=FQ","FILING_STATUS=OR","SCALING_FORMAT=MLN","Sort=A","Dates=H","DateFormat=P","Fill=—","Direction=H","UseDPDF=Y")</f>
        <v>41122</v>
      </c>
      <c r="AA37" s="13">
        <f>_xll.BDH("XOM US Equity","OTHER_NONCUR_LIABS_SUB_DETAILED","FQ3 2004","FQ3 2004","Currency=USD","Period=FQ","BEST_FPERIOD_OVERRIDE=FQ","FILING_STATUS=OR","SCALING_FORMAT=MLN","Sort=A","Dates=H","DateFormat=P","Fill=—","Direction=H","UseDPDF=Y")</f>
        <v>42600</v>
      </c>
      <c r="AB37" s="13">
        <f>_xll.BDH("XOM US Equity","OTHER_NONCUR_LIABS_SUB_DETAILED","FQ4 2004","FQ4 2004","Currency=USD","Period=FQ","BEST_FPERIOD_OVERRIDE=FQ","FILING_STATUS=OR","SCALING_FORMAT=MLN","Sort=A","Dates=H","DateFormat=P","Fill=—","Direction=H","UseDPDF=Y")</f>
        <v>41554</v>
      </c>
      <c r="AC37" s="13">
        <f>_xll.BDH("XOM US Equity","OTHER_NONCUR_LIABS_SUB_DETAILED","FQ1 2005","FQ1 2005","Currency=USD","Period=FQ","BEST_FPERIOD_OVERRIDE=FQ","FILING_STATUS=OR","SCALING_FORMAT=MLN","Sort=A","Dates=H","DateFormat=P","Fill=—","Direction=H","UseDPDF=Y")</f>
        <v>44782</v>
      </c>
      <c r="AD37" s="13">
        <f>_xll.BDH("XOM US Equity","OTHER_NONCUR_LIABS_SUB_DETAILED","FQ2 2005","FQ2 2005","Currency=USD","Period=FQ","BEST_FPERIOD_OVERRIDE=FQ","FILING_STATUS=OR","SCALING_FORMAT=MLN","Sort=A","Dates=H","DateFormat=P","Fill=—","Direction=H","UseDPDF=Y")</f>
        <v>44520</v>
      </c>
      <c r="AE37" s="13">
        <f>_xll.BDH("XOM US Equity","OTHER_NONCUR_LIABS_SUB_DETAILED","FQ3 2005","FQ3 2005","Currency=USD","Period=FQ","BEST_FPERIOD_OVERRIDE=FQ","FILING_STATUS=OR","SCALING_FORMAT=MLN","Sort=A","Dates=H","DateFormat=P","Fill=—","Direction=H","UseDPDF=Y")</f>
        <v>44830</v>
      </c>
      <c r="AF37" s="13">
        <f>_xll.BDH("XOM US Equity","OTHER_NONCUR_LIABS_SUB_DETAILED","FQ4 2005","FQ4 2005","Currency=USD","Period=FQ","BEST_FPERIOD_OVERRIDE=FQ","FILING_STATUS=OR","SCALING_FORMAT=MLN","Sort=A","Dates=H","DateFormat=P","Fill=—","Direction=H","UseDPDF=Y")</f>
        <v>41095</v>
      </c>
      <c r="AG37" s="13">
        <f>_xll.BDH("XOM US Equity","OTHER_NONCUR_LIABS_SUB_DETAILED","FQ1 2006","FQ1 2006","Currency=USD","Period=FQ","BEST_FPERIOD_OVERRIDE=FQ","FILING_STATUS=OR","SCALING_FORMAT=MLN","Sort=A","Dates=H","DateFormat=P","Fill=—","Direction=H","UseDPDF=Y")</f>
        <v>45850</v>
      </c>
      <c r="AH37" s="13">
        <f>_xll.BDH("XOM US Equity","OTHER_NONCUR_LIABS_SUB_DETAILED","FQ2 2006","FQ2 2006","Currency=USD","Period=FQ","BEST_FPERIOD_OVERRIDE=FQ","FILING_STATUS=OR","SCALING_FORMAT=MLN","Sort=A","Dates=H","DateFormat=P","Fill=—","Direction=H","UseDPDF=Y")</f>
        <v>47299</v>
      </c>
      <c r="AI37" s="13">
        <f>_xll.BDH("XOM US Equity","OTHER_NONCUR_LIABS_SUB_DETAILED","FQ3 2006","FQ3 2006","Currency=USD","Period=FQ","BEST_FPERIOD_OVERRIDE=FQ","FILING_STATUS=OR","SCALING_FORMAT=MLN","Sort=A","Dates=H","DateFormat=P","Fill=—","Direction=H","UseDPDF=Y")</f>
        <v>46086</v>
      </c>
      <c r="AJ37" s="13">
        <f>_xll.BDH("XOM US Equity","OTHER_NONCUR_LIABS_SUB_DETAILED","FQ4 2006","FQ4 2006","Currency=USD","Period=FQ","BEST_FPERIOD_OVERRIDE=FQ","FILING_STATUS=OR","SCALING_FORMAT=MLN","Sort=A","Dates=H","DateFormat=P","Fill=—","Direction=H","UseDPDF=Y")</f>
        <v>49709</v>
      </c>
      <c r="AK37" s="13">
        <f>_xll.BDH("XOM US Equity","OTHER_NONCUR_LIABS_SUB_DETAILED","FQ1 2007","FQ1 2007","Currency=USD","Period=FQ","BEST_FPERIOD_OVERRIDE=FQ","FILING_STATUS=OR","SCALING_FORMAT=MLN","Sort=A","Dates=H","DateFormat=P","Fill=—","Direction=H","UseDPDF=Y")</f>
        <v>51841</v>
      </c>
      <c r="AL37" s="13">
        <f>_xll.BDH("XOM US Equity","OTHER_NONCUR_LIABS_SUB_DETAILED","FQ2 2007","FQ2 2007","Currency=USD","Period=FQ","BEST_FPERIOD_OVERRIDE=FQ","FILING_STATUS=OR","SCALING_FORMAT=MLN","Sort=A","Dates=H","DateFormat=P","Fill=—","Direction=H","UseDPDF=Y")</f>
        <v>53292</v>
      </c>
      <c r="AM37" s="13">
        <f>_xll.BDH("XOM US Equity","OTHER_NONCUR_LIABS_SUB_DETAILED","FQ3 2007","FQ3 2007","Currency=USD","Period=FQ","BEST_FPERIOD_OVERRIDE=FQ","FILING_STATUS=OR","SCALING_FORMAT=MLN","Sort=A","Dates=H","DateFormat=P","Fill=—","Direction=H","UseDPDF=Y")</f>
        <v>55242</v>
      </c>
      <c r="AN37" s="13">
        <f>_xll.BDH("XOM US Equity","OTHER_NONCUR_LIABS_SUB_DETAILED","FQ4 2007","FQ4 2007","Currency=USD","Period=FQ","BEST_FPERIOD_OVERRIDE=FQ","FILING_STATUS=OR","SCALING_FORMAT=MLN","Sort=A","Dates=H","DateFormat=P","Fill=—","Direction=H","UseDPDF=Y")</f>
        <v>50543</v>
      </c>
      <c r="AO37" s="13">
        <f>_xll.BDH("XOM US Equity","OTHER_NONCUR_LIABS_SUB_DETAILED","FQ1 2008","FQ1 2008","Currency=USD","Period=FQ","BEST_FPERIOD_OVERRIDE=FQ","FILING_STATUS=OR","SCALING_FORMAT=MLN","Sort=A","Dates=H","DateFormat=P","Fill=—","Direction=H","UseDPDF=Y")</f>
        <v>56845</v>
      </c>
      <c r="AP37" s="13">
        <f>_xll.BDH("XOM US Equity","OTHER_NONCUR_LIABS_SUB_DETAILED","FQ2 2008","FQ2 2008","Currency=USD","Period=FQ","BEST_FPERIOD_OVERRIDE=FQ","FILING_STATUS=OR","SCALING_FORMAT=MLN","Sort=A","Dates=H","DateFormat=P","Fill=—","Direction=H","UseDPDF=Y")</f>
        <v>57372</v>
      </c>
    </row>
    <row r="38" spans="1:42" x14ac:dyDescent="0.25">
      <c r="A38" s="10" t="s">
        <v>235</v>
      </c>
      <c r="B38" s="10" t="s">
        <v>236</v>
      </c>
      <c r="C38" s="13">
        <f>_xll.BDH("XOM US Equity","OTHER_NONCURRENT_LIABS_DETAILED","FQ3 1998","FQ3 1998","Currency=USD","Period=FQ","BEST_FPERIOD_OVERRIDE=FQ","FILING_STATUS=OR","SCALING_FORMAT=MLN","Sort=A","Dates=H","DateFormat=P","Fill=—","Direction=H","UseDPDF=Y")</f>
        <v>25791</v>
      </c>
      <c r="D38" s="13">
        <f>_xll.BDH("XOM US Equity","OTHER_NONCURRENT_LIABS_DETAILED","FQ4 1998","FQ4 1998","Currency=USD","Period=FQ","BEST_FPERIOD_OVERRIDE=FQ","FILING_STATUS=OR","SCALING_FORMAT=MLN","Sort=A","Dates=H","DateFormat=P","Fill=—","Direction=H","UseDPDF=Y")</f>
        <v>23131</v>
      </c>
      <c r="E38" s="13">
        <f>_xll.BDH("XOM US Equity","OTHER_NONCURRENT_LIABS_DETAILED","FQ1 1999","FQ1 1999","Currency=USD","Period=FQ","BEST_FPERIOD_OVERRIDE=FQ","FILING_STATUS=OR","SCALING_FORMAT=MLN","Sort=A","Dates=H","DateFormat=P","Fill=—","Direction=H","UseDPDF=Y")</f>
        <v>24294</v>
      </c>
      <c r="F38" s="13">
        <f>_xll.BDH("XOM US Equity","OTHER_NONCURRENT_LIABS_DETAILED","FQ2 1999","FQ2 1999","Currency=USD","Period=FQ","BEST_FPERIOD_OVERRIDE=FQ","FILING_STATUS=OR","SCALING_FORMAT=MLN","Sort=A","Dates=H","DateFormat=P","Fill=—","Direction=H","UseDPDF=Y")</f>
        <v>24199</v>
      </c>
      <c r="G38" s="13">
        <f>_xll.BDH("XOM US Equity","OTHER_NONCURRENT_LIABS_DETAILED","FQ3 1999","FQ3 1999","Currency=USD","Period=FQ","BEST_FPERIOD_OVERRIDE=FQ","FILING_STATUS=OR","SCALING_FORMAT=MLN","Sort=A","Dates=H","DateFormat=P","Fill=—","Direction=H","UseDPDF=Y")</f>
        <v>24556</v>
      </c>
      <c r="H38" s="13">
        <f>_xll.BDH("XOM US Equity","OTHER_NONCURRENT_LIABS_DETAILED","FQ4 1999","FQ4 1999","Currency=USD","Period=FQ","BEST_FPERIOD_OVERRIDE=FQ","FILING_STATUS=OR","SCALING_FORMAT=MLN","Sort=A","Dates=H","DateFormat=P","Fill=—","Direction=H","UseDPDF=Y")</f>
        <v>30232</v>
      </c>
      <c r="I38" s="13">
        <f>_xll.BDH("XOM US Equity","OTHER_NONCURRENT_LIABS_DETAILED","FQ1 2000","FQ1 2000","Currency=USD","Period=FQ","BEST_FPERIOD_OVERRIDE=FQ","FILING_STATUS=OR","SCALING_FORMAT=MLN","Sort=A","Dates=H","DateFormat=P","Fill=—","Direction=H","UseDPDF=Y")</f>
        <v>33403</v>
      </c>
      <c r="J38" s="13">
        <f>_xll.BDH("XOM US Equity","OTHER_NONCURRENT_LIABS_DETAILED","FQ2 2000","FQ2 2000","Currency=USD","Period=FQ","BEST_FPERIOD_OVERRIDE=FQ","FILING_STATUS=OR","SCALING_FORMAT=MLN","Sort=A","Dates=H","DateFormat=P","Fill=—","Direction=H","UseDPDF=Y")</f>
        <v>33081</v>
      </c>
      <c r="K38" s="13">
        <f>_xll.BDH("XOM US Equity","OTHER_NONCURRENT_LIABS_DETAILED","FQ3 2000","FQ3 2000","Currency=USD","Period=FQ","BEST_FPERIOD_OVERRIDE=FQ","FILING_STATUS=OR","SCALING_FORMAT=MLN","Sort=A","Dates=H","DateFormat=P","Fill=—","Direction=H","UseDPDF=Y")</f>
        <v>32838</v>
      </c>
      <c r="L38" s="13">
        <f>_xll.BDH("XOM US Equity","OTHER_NONCURRENT_LIABS_DETAILED","FQ4 2000","FQ4 2000","Currency=USD","Period=FQ","BEST_FPERIOD_OVERRIDE=FQ","FILING_STATUS=OR","SCALING_FORMAT=MLN","Sort=A","Dates=H","DateFormat=P","Fill=—","Direction=H","UseDPDF=Y")</f>
        <v>29542</v>
      </c>
      <c r="M38" s="13">
        <f>_xll.BDH("XOM US Equity","OTHER_NONCURRENT_LIABS_DETAILED","FQ1 2001","FQ1 2001","Currency=USD","Period=FQ","BEST_FPERIOD_OVERRIDE=FQ","FILING_STATUS=OR","SCALING_FORMAT=MLN","Sort=A","Dates=H","DateFormat=P","Fill=—","Direction=H","UseDPDF=Y")</f>
        <v>32266</v>
      </c>
      <c r="N38" s="13">
        <f>_xll.BDH("XOM US Equity","OTHER_NONCURRENT_LIABS_DETAILED","FQ2 2001","FQ2 2001","Currency=USD","Period=FQ","BEST_FPERIOD_OVERRIDE=FQ","FILING_STATUS=OR","SCALING_FORMAT=MLN","Sort=A","Dates=H","DateFormat=P","Fill=—","Direction=H","UseDPDF=Y")</f>
        <v>31783</v>
      </c>
      <c r="O38" s="13">
        <f>_xll.BDH("XOM US Equity","OTHER_NONCURRENT_LIABS_DETAILED","FQ3 2001","FQ3 2001","Currency=USD","Period=FQ","BEST_FPERIOD_OVERRIDE=FQ","FILING_STATUS=OR","SCALING_FORMAT=MLN","Sort=A","Dates=H","DateFormat=P","Fill=—","Direction=H","UseDPDF=Y")</f>
        <v>32274</v>
      </c>
      <c r="P38" s="13">
        <f>_xll.BDH("XOM US Equity","OTHER_NONCURRENT_LIABS_DETAILED","FQ4 2001","FQ4 2001","Currency=USD","Period=FQ","BEST_FPERIOD_OVERRIDE=FQ","FILING_STATUS=OR","SCALING_FORMAT=MLN","Sort=A","Dates=H","DateFormat=P","Fill=—","Direction=H","UseDPDF=Y")</f>
        <v>29975</v>
      </c>
      <c r="Q38" s="13">
        <f>_xll.BDH("XOM US Equity","OTHER_NONCURRENT_LIABS_DETAILED","FQ1 2002","FQ1 2002","Currency=USD","Period=FQ","BEST_FPERIOD_OVERRIDE=FQ","FILING_STATUS=OR","SCALING_FORMAT=MLN","Sort=A","Dates=H","DateFormat=P","Fill=—","Direction=H","UseDPDF=Y")</f>
        <v>32374</v>
      </c>
      <c r="R38" s="13">
        <f>_xll.BDH("XOM US Equity","OTHER_NONCURRENT_LIABS_DETAILED","FQ2 2002","FQ2 2002","Currency=USD","Period=FQ","BEST_FPERIOD_OVERRIDE=FQ","FILING_STATUS=OR","SCALING_FORMAT=MLN","Sort=A","Dates=H","DateFormat=P","Fill=—","Direction=H","UseDPDF=Y")</f>
        <v>34265</v>
      </c>
      <c r="S38" s="13">
        <f>_xll.BDH("XOM US Equity","OTHER_NONCURRENT_LIABS_DETAILED","FQ3 2002","FQ3 2002","Currency=USD","Period=FQ","BEST_FPERIOD_OVERRIDE=FQ","FILING_STATUS=OR","SCALING_FORMAT=MLN","Sort=A","Dates=H","DateFormat=P","Fill=—","Direction=H","UseDPDF=Y")</f>
        <v>34614</v>
      </c>
      <c r="T38" s="13">
        <f>_xll.BDH("XOM US Equity","OTHER_NONCURRENT_LIABS_DETAILED","FQ4 2002","FQ4 2002","Currency=USD","Period=FQ","BEST_FPERIOD_OVERRIDE=FQ","FILING_STATUS=OR","SCALING_FORMAT=MLN","Sort=A","Dates=H","DateFormat=P","Fill=—","Direction=H","UseDPDF=Y")</f>
        <v>35449</v>
      </c>
      <c r="U38" s="13">
        <f>_xll.BDH("XOM US Equity","OTHER_NONCURRENT_LIABS_DETAILED","FQ1 2003","FQ1 2003","Currency=USD","Period=FQ","BEST_FPERIOD_OVERRIDE=FQ","FILING_STATUS=OR","SCALING_FORMAT=MLN","Sort=A","Dates=H","DateFormat=P","Fill=—","Direction=H","UseDPDF=Y")</f>
        <v>38769</v>
      </c>
      <c r="V38" s="13">
        <f>_xll.BDH("XOM US Equity","OTHER_NONCURRENT_LIABS_DETAILED","FQ2 2003","FQ2 2003","Currency=USD","Period=FQ","BEST_FPERIOD_OVERRIDE=FQ","FILING_STATUS=OR","SCALING_FORMAT=MLN","Sort=A","Dates=H","DateFormat=P","Fill=—","Direction=H","UseDPDF=Y")</f>
        <v>40063</v>
      </c>
      <c r="W38" s="13">
        <f>_xll.BDH("XOM US Equity","OTHER_NONCURRENT_LIABS_DETAILED","FQ3 2003","FQ3 2003","Currency=USD","Period=FQ","BEST_FPERIOD_OVERRIDE=FQ","FILING_STATUS=OR","SCALING_FORMAT=MLN","Sort=A","Dates=H","DateFormat=P","Fill=—","Direction=H","UseDPDF=Y")</f>
        <v>38967</v>
      </c>
      <c r="X38" s="13">
        <f>_xll.BDH("XOM US Equity","OTHER_NONCURRENT_LIABS_DETAILED","FQ4 2003","FQ4 2003","Currency=USD","Period=FQ","BEST_FPERIOD_OVERRIDE=FQ","FILING_STATUS=OR","SCALING_FORMAT=MLN","Sort=A","Dates=H","DateFormat=P","Fill=—","Direction=H","UseDPDF=Y")</f>
        <v>37839</v>
      </c>
      <c r="Y38" s="13">
        <f>_xll.BDH("XOM US Equity","OTHER_NONCURRENT_LIABS_DETAILED","FQ1 2004","FQ1 2004","Currency=USD","Period=FQ","BEST_FPERIOD_OVERRIDE=FQ","FILING_STATUS=OR","SCALING_FORMAT=MLN","Sort=A","Dates=H","DateFormat=P","Fill=—","Direction=H","UseDPDF=Y")</f>
        <v>41431</v>
      </c>
      <c r="Z38" s="13">
        <f>_xll.BDH("XOM US Equity","OTHER_NONCURRENT_LIABS_DETAILED","FQ2 2004","FQ2 2004","Currency=USD","Period=FQ","BEST_FPERIOD_OVERRIDE=FQ","FILING_STATUS=OR","SCALING_FORMAT=MLN","Sort=A","Dates=H","DateFormat=P","Fill=—","Direction=H","UseDPDF=Y")</f>
        <v>41122</v>
      </c>
      <c r="AA38" s="13">
        <f>_xll.BDH("XOM US Equity","OTHER_NONCURRENT_LIABS_DETAILED","FQ3 2004","FQ3 2004","Currency=USD","Period=FQ","BEST_FPERIOD_OVERRIDE=FQ","FILING_STATUS=OR","SCALING_FORMAT=MLN","Sort=A","Dates=H","DateFormat=P","Fill=—","Direction=H","UseDPDF=Y")</f>
        <v>42600</v>
      </c>
      <c r="AB38" s="13">
        <f>_xll.BDH("XOM US Equity","OTHER_NONCURRENT_LIABS_DETAILED","FQ4 2004","FQ4 2004","Currency=USD","Period=FQ","BEST_FPERIOD_OVERRIDE=FQ","FILING_STATUS=OR","SCALING_FORMAT=MLN","Sort=A","Dates=H","DateFormat=P","Fill=—","Direction=H","UseDPDF=Y")</f>
        <v>41554</v>
      </c>
      <c r="AC38" s="13">
        <f>_xll.BDH("XOM US Equity","OTHER_NONCURRENT_LIABS_DETAILED","FQ1 2005","FQ1 2005","Currency=USD","Period=FQ","BEST_FPERIOD_OVERRIDE=FQ","FILING_STATUS=OR","SCALING_FORMAT=MLN","Sort=A","Dates=H","DateFormat=P","Fill=—","Direction=H","UseDPDF=Y")</f>
        <v>44782</v>
      </c>
      <c r="AD38" s="13">
        <f>_xll.BDH("XOM US Equity","OTHER_NONCURRENT_LIABS_DETAILED","FQ2 2005","FQ2 2005","Currency=USD","Period=FQ","BEST_FPERIOD_OVERRIDE=FQ","FILING_STATUS=OR","SCALING_FORMAT=MLN","Sort=A","Dates=H","DateFormat=P","Fill=—","Direction=H","UseDPDF=Y")</f>
        <v>44520</v>
      </c>
      <c r="AE38" s="13">
        <f>_xll.BDH("XOM US Equity","OTHER_NONCURRENT_LIABS_DETAILED","FQ3 2005","FQ3 2005","Currency=USD","Period=FQ","BEST_FPERIOD_OVERRIDE=FQ","FILING_STATUS=OR","SCALING_FORMAT=MLN","Sort=A","Dates=H","DateFormat=P","Fill=—","Direction=H","UseDPDF=Y")</f>
        <v>44830</v>
      </c>
      <c r="AF38" s="13">
        <f>_xll.BDH("XOM US Equity","OTHER_NONCURRENT_LIABS_DETAILED","FQ4 2005","FQ4 2005","Currency=USD","Period=FQ","BEST_FPERIOD_OVERRIDE=FQ","FILING_STATUS=OR","SCALING_FORMAT=MLN","Sort=A","Dates=H","DateFormat=P","Fill=—","Direction=H","UseDPDF=Y")</f>
        <v>41095</v>
      </c>
      <c r="AG38" s="13">
        <f>_xll.BDH("XOM US Equity","OTHER_NONCURRENT_LIABS_DETAILED","FQ1 2006","FQ1 2006","Currency=USD","Period=FQ","BEST_FPERIOD_OVERRIDE=FQ","FILING_STATUS=OR","SCALING_FORMAT=MLN","Sort=A","Dates=H","DateFormat=P","Fill=—","Direction=H","UseDPDF=Y")</f>
        <v>45850</v>
      </c>
      <c r="AH38" s="13">
        <f>_xll.BDH("XOM US Equity","OTHER_NONCURRENT_LIABS_DETAILED","FQ2 2006","FQ2 2006","Currency=USD","Period=FQ","BEST_FPERIOD_OVERRIDE=FQ","FILING_STATUS=OR","SCALING_FORMAT=MLN","Sort=A","Dates=H","DateFormat=P","Fill=—","Direction=H","UseDPDF=Y")</f>
        <v>47299</v>
      </c>
      <c r="AI38" s="13">
        <f>_xll.BDH("XOM US Equity","OTHER_NONCURRENT_LIABS_DETAILED","FQ3 2006","FQ3 2006","Currency=USD","Period=FQ","BEST_FPERIOD_OVERRIDE=FQ","FILING_STATUS=OR","SCALING_FORMAT=MLN","Sort=A","Dates=H","DateFormat=P","Fill=—","Direction=H","UseDPDF=Y")</f>
        <v>46086</v>
      </c>
      <c r="AJ38" s="13">
        <f>_xll.BDH("XOM US Equity","OTHER_NONCURRENT_LIABS_DETAILED","FQ4 2006","FQ4 2006","Currency=USD","Period=FQ","BEST_FPERIOD_OVERRIDE=FQ","FILING_STATUS=OR","SCALING_FORMAT=MLN","Sort=A","Dates=H","DateFormat=P","Fill=—","Direction=H","UseDPDF=Y")</f>
        <v>49709</v>
      </c>
      <c r="AK38" s="13">
        <f>_xll.BDH("XOM US Equity","OTHER_NONCURRENT_LIABS_DETAILED","FQ1 2007","FQ1 2007","Currency=USD","Period=FQ","BEST_FPERIOD_OVERRIDE=FQ","FILING_STATUS=OR","SCALING_FORMAT=MLN","Sort=A","Dates=H","DateFormat=P","Fill=—","Direction=H","UseDPDF=Y")</f>
        <v>51841</v>
      </c>
      <c r="AL38" s="13">
        <f>_xll.BDH("XOM US Equity","OTHER_NONCURRENT_LIABS_DETAILED","FQ2 2007","FQ2 2007","Currency=USD","Period=FQ","BEST_FPERIOD_OVERRIDE=FQ","FILING_STATUS=OR","SCALING_FORMAT=MLN","Sort=A","Dates=H","DateFormat=P","Fill=—","Direction=H","UseDPDF=Y")</f>
        <v>53292</v>
      </c>
      <c r="AM38" s="13">
        <f>_xll.BDH("XOM US Equity","OTHER_NONCURRENT_LIABS_DETAILED","FQ3 2007","FQ3 2007","Currency=USD","Period=FQ","BEST_FPERIOD_OVERRIDE=FQ","FILING_STATUS=OR","SCALING_FORMAT=MLN","Sort=A","Dates=H","DateFormat=P","Fill=—","Direction=H","UseDPDF=Y")</f>
        <v>55242</v>
      </c>
      <c r="AN38" s="13">
        <f>_xll.BDH("XOM US Equity","OTHER_NONCURRENT_LIABS_DETAILED","FQ4 2007","FQ4 2007","Currency=USD","Period=FQ","BEST_FPERIOD_OVERRIDE=FQ","FILING_STATUS=OR","SCALING_FORMAT=MLN","Sort=A","Dates=H","DateFormat=P","Fill=—","Direction=H","UseDPDF=Y")</f>
        <v>50543</v>
      </c>
      <c r="AO38" s="13">
        <f>_xll.BDH("XOM US Equity","OTHER_NONCURRENT_LIABS_DETAILED","FQ1 2008","FQ1 2008","Currency=USD","Period=FQ","BEST_FPERIOD_OVERRIDE=FQ","FILING_STATUS=OR","SCALING_FORMAT=MLN","Sort=A","Dates=H","DateFormat=P","Fill=—","Direction=H","UseDPDF=Y")</f>
        <v>56845</v>
      </c>
      <c r="AP38" s="13">
        <f>_xll.BDH("XOM US Equity","OTHER_NONCURRENT_LIABS_DETAILED","FQ2 2008","FQ2 2008","Currency=USD","Period=FQ","BEST_FPERIOD_OVERRIDE=FQ","FILING_STATUS=OR","SCALING_FORMAT=MLN","Sort=A","Dates=H","DateFormat=P","Fill=—","Direction=H","UseDPDF=Y")</f>
        <v>57372</v>
      </c>
    </row>
    <row r="39" spans="1:42" x14ac:dyDescent="0.25">
      <c r="A39" s="6" t="s">
        <v>237</v>
      </c>
      <c r="B39" s="6" t="s">
        <v>238</v>
      </c>
      <c r="C39" s="16">
        <f>_xll.BDH("XOM US Equity","NON_CUR_LIAB","FQ3 1998","FQ3 1998","Currency=USD","Period=FQ","BEST_FPERIOD_OVERRIDE=FQ","FILING_STATUS=OR","SCALING_FORMAT=MLN","Sort=A","Dates=H","DateFormat=P","Fill=—","Direction=H","UseDPDF=Y")</f>
        <v>32703</v>
      </c>
      <c r="D39" s="16">
        <f>_xll.BDH("XOM US Equity","NON_CUR_LIAB","FQ4 1998","FQ4 1998","Currency=USD","Period=FQ","BEST_FPERIOD_OVERRIDE=FQ","FILING_STATUS=OR","SCALING_FORMAT=MLN","Sort=A","Dates=H","DateFormat=P","Fill=—","Direction=H","UseDPDF=Y")</f>
        <v>27661</v>
      </c>
      <c r="E39" s="16">
        <f>_xll.BDH("XOM US Equity","NON_CUR_LIAB","FQ1 1999","FQ1 1999","Currency=USD","Period=FQ","BEST_FPERIOD_OVERRIDE=FQ","FILING_STATUS=OR","SCALING_FORMAT=MLN","Sort=A","Dates=H","DateFormat=P","Fill=—","Direction=H","UseDPDF=Y")</f>
        <v>28857</v>
      </c>
      <c r="F39" s="16">
        <f>_xll.BDH("XOM US Equity","NON_CUR_LIAB","FQ2 1999","FQ2 1999","Currency=USD","Period=FQ","BEST_FPERIOD_OVERRIDE=FQ","FILING_STATUS=OR","SCALING_FORMAT=MLN","Sort=A","Dates=H","DateFormat=P","Fill=—","Direction=H","UseDPDF=Y")</f>
        <v>28696</v>
      </c>
      <c r="G39" s="16">
        <f>_xll.BDH("XOM US Equity","NON_CUR_LIAB","FQ3 1999","FQ3 1999","Currency=USD","Period=FQ","BEST_FPERIOD_OVERRIDE=FQ","FILING_STATUS=OR","SCALING_FORMAT=MLN","Sort=A","Dates=H","DateFormat=P","Fill=—","Direction=H","UseDPDF=Y")</f>
        <v>28981</v>
      </c>
      <c r="H39" s="16">
        <f>_xll.BDH("XOM US Equity","NON_CUR_LIAB","FQ4 1999","FQ4 1999","Currency=USD","Period=FQ","BEST_FPERIOD_OVERRIDE=FQ","FILING_STATUS=OR","SCALING_FORMAT=MLN","Sort=A","Dates=H","DateFormat=P","Fill=—","Direction=H","UseDPDF=Y")</f>
        <v>38634</v>
      </c>
      <c r="I39" s="16">
        <f>_xll.BDH("XOM US Equity","NON_CUR_LIAB","FQ1 2000","FQ1 2000","Currency=USD","Period=FQ","BEST_FPERIOD_OVERRIDE=FQ","FILING_STATUS=OR","SCALING_FORMAT=MLN","Sort=A","Dates=H","DateFormat=P","Fill=—","Direction=H","UseDPDF=Y")</f>
        <v>41412</v>
      </c>
      <c r="J39" s="16">
        <f>_xll.BDH("XOM US Equity","NON_CUR_LIAB","FQ2 2000","FQ2 2000","Currency=USD","Period=FQ","BEST_FPERIOD_OVERRIDE=FQ","FILING_STATUS=OR","SCALING_FORMAT=MLN","Sort=A","Dates=H","DateFormat=P","Fill=—","Direction=H","UseDPDF=Y")</f>
        <v>41090</v>
      </c>
      <c r="K39" s="16">
        <f>_xll.BDH("XOM US Equity","NON_CUR_LIAB","FQ3 2000","FQ3 2000","Currency=USD","Period=FQ","BEST_FPERIOD_OVERRIDE=FQ","FILING_STATUS=OR","SCALING_FORMAT=MLN","Sort=A","Dates=H","DateFormat=P","Fill=—","Direction=H","UseDPDF=Y")</f>
        <v>40366</v>
      </c>
      <c r="L39" s="16">
        <f>_xll.BDH("XOM US Equity","NON_CUR_LIAB","FQ4 2000","FQ4 2000","Currency=USD","Period=FQ","BEST_FPERIOD_OVERRIDE=FQ","FILING_STATUS=OR","SCALING_FORMAT=MLN","Sort=A","Dates=H","DateFormat=P","Fill=—","Direction=H","UseDPDF=Y")</f>
        <v>36822</v>
      </c>
      <c r="M39" s="16">
        <f>_xll.BDH("XOM US Equity","NON_CUR_LIAB","FQ1 2001","FQ1 2001","Currency=USD","Period=FQ","BEST_FPERIOD_OVERRIDE=FQ","FILING_STATUS=OR","SCALING_FORMAT=MLN","Sort=A","Dates=H","DateFormat=P","Fill=—","Direction=H","UseDPDF=Y")</f>
        <v>39536</v>
      </c>
      <c r="N39" s="16">
        <f>_xll.BDH("XOM US Equity","NON_CUR_LIAB","FQ2 2001","FQ2 2001","Currency=USD","Period=FQ","BEST_FPERIOD_OVERRIDE=FQ","FILING_STATUS=OR","SCALING_FORMAT=MLN","Sort=A","Dates=H","DateFormat=P","Fill=—","Direction=H","UseDPDF=Y")</f>
        <v>39072</v>
      </c>
      <c r="O39" s="16">
        <f>_xll.BDH("XOM US Equity","NON_CUR_LIAB","FQ3 2001","FQ3 2001","Currency=USD","Period=FQ","BEST_FPERIOD_OVERRIDE=FQ","FILING_STATUS=OR","SCALING_FORMAT=MLN","Sort=A","Dates=H","DateFormat=P","Fill=—","Direction=H","UseDPDF=Y")</f>
        <v>39514</v>
      </c>
      <c r="P39" s="16">
        <f>_xll.BDH("XOM US Equity","NON_CUR_LIAB","FQ4 2001","FQ4 2001","Currency=USD","Period=FQ","BEST_FPERIOD_OVERRIDE=FQ","FILING_STATUS=OR","SCALING_FORMAT=MLN","Sort=A","Dates=H","DateFormat=P","Fill=—","Direction=H","UseDPDF=Y")</f>
        <v>37074</v>
      </c>
      <c r="Q39" s="16">
        <f>_xll.BDH("XOM US Equity","NON_CUR_LIAB","FQ1 2002","FQ1 2002","Currency=USD","Period=FQ","BEST_FPERIOD_OVERRIDE=FQ","FILING_STATUS=OR","SCALING_FORMAT=MLN","Sort=A","Dates=H","DateFormat=P","Fill=—","Direction=H","UseDPDF=Y")</f>
        <v>39492</v>
      </c>
      <c r="R39" s="16">
        <f>_xll.BDH("XOM US Equity","NON_CUR_LIAB","FQ2 2002","FQ2 2002","Currency=USD","Period=FQ","BEST_FPERIOD_OVERRIDE=FQ","FILING_STATUS=OR","SCALING_FORMAT=MLN","Sort=A","Dates=H","DateFormat=P","Fill=—","Direction=H","UseDPDF=Y")</f>
        <v>41872</v>
      </c>
      <c r="S39" s="16">
        <f>_xll.BDH("XOM US Equity","NON_CUR_LIAB","FQ3 2002","FQ3 2002","Currency=USD","Period=FQ","BEST_FPERIOD_OVERRIDE=FQ","FILING_STATUS=OR","SCALING_FORMAT=MLN","Sort=A","Dates=H","DateFormat=P","Fill=—","Direction=H","UseDPDF=Y")</f>
        <v>41724</v>
      </c>
      <c r="T39" s="16">
        <f>_xll.BDH("XOM US Equity","NON_CUR_LIAB","FQ4 2002","FQ4 2002","Currency=USD","Period=FQ","BEST_FPERIOD_OVERRIDE=FQ","FILING_STATUS=OR","SCALING_FORMAT=MLN","Sort=A","Dates=H","DateFormat=P","Fill=—","Direction=H","UseDPDF=Y")</f>
        <v>42104</v>
      </c>
      <c r="U39" s="16">
        <f>_xll.BDH("XOM US Equity","NON_CUR_LIAB","FQ1 2003","FQ1 2003","Currency=USD","Period=FQ","BEST_FPERIOD_OVERRIDE=FQ","FILING_STATUS=OR","SCALING_FORMAT=MLN","Sort=A","Dates=H","DateFormat=P","Fill=—","Direction=H","UseDPDF=Y")</f>
        <v>45258</v>
      </c>
      <c r="V39" s="16">
        <f>_xll.BDH("XOM US Equity","NON_CUR_LIAB","FQ2 2003","FQ2 2003","Currency=USD","Period=FQ","BEST_FPERIOD_OVERRIDE=FQ","FILING_STATUS=OR","SCALING_FORMAT=MLN","Sort=A","Dates=H","DateFormat=P","Fill=—","Direction=H","UseDPDF=Y")</f>
        <v>45874</v>
      </c>
      <c r="W39" s="16">
        <f>_xll.BDH("XOM US Equity","NON_CUR_LIAB","FQ3 2003","FQ3 2003","Currency=USD","Period=FQ","BEST_FPERIOD_OVERRIDE=FQ","FILING_STATUS=OR","SCALING_FORMAT=MLN","Sort=A","Dates=H","DateFormat=P","Fill=—","Direction=H","UseDPDF=Y")</f>
        <v>44582</v>
      </c>
      <c r="X39" s="16">
        <f>_xll.BDH("XOM US Equity","NON_CUR_LIAB","FQ4 2003","FQ4 2003","Currency=USD","Period=FQ","BEST_FPERIOD_OVERRIDE=FQ","FILING_STATUS=OR","SCALING_FORMAT=MLN","Sort=A","Dates=H","DateFormat=P","Fill=—","Direction=H","UseDPDF=Y")</f>
        <v>42595</v>
      </c>
      <c r="Y39" s="16">
        <f>_xll.BDH("XOM US Equity","NON_CUR_LIAB","FQ1 2004","FQ1 2004","Currency=USD","Period=FQ","BEST_FPERIOD_OVERRIDE=FQ","FILING_STATUS=OR","SCALING_FORMAT=MLN","Sort=A","Dates=H","DateFormat=P","Fill=—","Direction=H","UseDPDF=Y")</f>
        <v>46566</v>
      </c>
      <c r="Z39" s="16">
        <f>_xll.BDH("XOM US Equity","NON_CUR_LIAB","FQ2 2004","FQ2 2004","Currency=USD","Period=FQ","BEST_FPERIOD_OVERRIDE=FQ","FILING_STATUS=OR","SCALING_FORMAT=MLN","Sort=A","Dates=H","DateFormat=P","Fill=—","Direction=H","UseDPDF=Y")</f>
        <v>46206</v>
      </c>
      <c r="AA39" s="16">
        <f>_xll.BDH("XOM US Equity","NON_CUR_LIAB","FQ3 2004","FQ3 2004","Currency=USD","Period=FQ","BEST_FPERIOD_OVERRIDE=FQ","FILING_STATUS=OR","SCALING_FORMAT=MLN","Sort=A","Dates=H","DateFormat=P","Fill=—","Direction=H","UseDPDF=Y")</f>
        <v>47796</v>
      </c>
      <c r="AB39" s="16">
        <f>_xll.BDH("XOM US Equity","NON_CUR_LIAB","FQ4 2004","FQ4 2004","Currency=USD","Period=FQ","BEST_FPERIOD_OVERRIDE=FQ","FILING_STATUS=OR","SCALING_FORMAT=MLN","Sort=A","Dates=H","DateFormat=P","Fill=—","Direction=H","UseDPDF=Y")</f>
        <v>46567</v>
      </c>
      <c r="AC39" s="16">
        <f>_xll.BDH("XOM US Equity","NON_CUR_LIAB","FQ1 2005","FQ1 2005","Currency=USD","Period=FQ","BEST_FPERIOD_OVERRIDE=FQ","FILING_STATUS=OR","SCALING_FORMAT=MLN","Sort=A","Dates=H","DateFormat=P","Fill=—","Direction=H","UseDPDF=Y")</f>
        <v>49797</v>
      </c>
      <c r="AD39" s="16">
        <f>_xll.BDH("XOM US Equity","NON_CUR_LIAB","FQ2 2005","FQ2 2005","Currency=USD","Period=FQ","BEST_FPERIOD_OVERRIDE=FQ","FILING_STATUS=OR","SCALING_FORMAT=MLN","Sort=A","Dates=H","DateFormat=P","Fill=—","Direction=H","UseDPDF=Y")</f>
        <v>50591</v>
      </c>
      <c r="AE39" s="16">
        <f>_xll.BDH("XOM US Equity","NON_CUR_LIAB","FQ3 2005","FQ3 2005","Currency=USD","Period=FQ","BEST_FPERIOD_OVERRIDE=FQ","FILING_STATUS=OR","SCALING_FORMAT=MLN","Sort=A","Dates=H","DateFormat=P","Fill=—","Direction=H","UseDPDF=Y")</f>
        <v>50956</v>
      </c>
      <c r="AF39" s="16">
        <f>_xll.BDH("XOM US Equity","NON_CUR_LIAB","FQ4 2005","FQ4 2005","Currency=USD","Period=FQ","BEST_FPERIOD_OVERRIDE=FQ","FILING_STATUS=OR","SCALING_FORMAT=MLN","Sort=A","Dates=H","DateFormat=P","Fill=—","Direction=H","UseDPDF=Y")</f>
        <v>47315</v>
      </c>
      <c r="AG39" s="16">
        <f>_xll.BDH("XOM US Equity","NON_CUR_LIAB","FQ1 2006","FQ1 2006","Currency=USD","Period=FQ","BEST_FPERIOD_OVERRIDE=FQ","FILING_STATUS=OR","SCALING_FORMAT=MLN","Sort=A","Dates=H","DateFormat=P","Fill=—","Direction=H","UseDPDF=Y")</f>
        <v>52105</v>
      </c>
      <c r="AH39" s="16">
        <f>_xll.BDH("XOM US Equity","NON_CUR_LIAB","FQ2 2006","FQ2 2006","Currency=USD","Period=FQ","BEST_FPERIOD_OVERRIDE=FQ","FILING_STATUS=OR","SCALING_FORMAT=MLN","Sort=A","Dates=H","DateFormat=P","Fill=—","Direction=H","UseDPDF=Y")</f>
        <v>53692</v>
      </c>
      <c r="AI39" s="16">
        <f>_xll.BDH("XOM US Equity","NON_CUR_LIAB","FQ3 2006","FQ3 2006","Currency=USD","Period=FQ","BEST_FPERIOD_OVERRIDE=FQ","FILING_STATUS=OR","SCALING_FORMAT=MLN","Sort=A","Dates=H","DateFormat=P","Fill=—","Direction=H","UseDPDF=Y")</f>
        <v>52550</v>
      </c>
      <c r="AJ39" s="16">
        <f>_xll.BDH("XOM US Equity","NON_CUR_LIAB","FQ4 2006","FQ4 2006","Currency=USD","Period=FQ","BEST_FPERIOD_OVERRIDE=FQ","FILING_STATUS=OR","SCALING_FORMAT=MLN","Sort=A","Dates=H","DateFormat=P","Fill=—","Direction=H","UseDPDF=Y")</f>
        <v>56354</v>
      </c>
      <c r="AK39" s="16">
        <f>_xll.BDH("XOM US Equity","NON_CUR_LIAB","FQ1 2007","FQ1 2007","Currency=USD","Period=FQ","BEST_FPERIOD_OVERRIDE=FQ","FILING_STATUS=OR","SCALING_FORMAT=MLN","Sort=A","Dates=H","DateFormat=P","Fill=—","Direction=H","UseDPDF=Y")</f>
        <v>58599</v>
      </c>
      <c r="AL39" s="16">
        <f>_xll.BDH("XOM US Equity","NON_CUR_LIAB","FQ2 2007","FQ2 2007","Currency=USD","Period=FQ","BEST_FPERIOD_OVERRIDE=FQ","FILING_STATUS=OR","SCALING_FORMAT=MLN","Sort=A","Dates=H","DateFormat=P","Fill=—","Direction=H","UseDPDF=Y")</f>
        <v>60049</v>
      </c>
      <c r="AM39" s="16">
        <f>_xll.BDH("XOM US Equity","NON_CUR_LIAB","FQ3 2007","FQ3 2007","Currency=USD","Period=FQ","BEST_FPERIOD_OVERRIDE=FQ","FILING_STATUS=OR","SCALING_FORMAT=MLN","Sort=A","Dates=H","DateFormat=P","Fill=—","Direction=H","UseDPDF=Y")</f>
        <v>62138</v>
      </c>
      <c r="AN39" s="16">
        <f>_xll.BDH("XOM US Equity","NON_CUR_LIAB","FQ4 2007","FQ4 2007","Currency=USD","Period=FQ","BEST_FPERIOD_OVERRIDE=FQ","FILING_STATUS=OR","SCALING_FORMAT=MLN","Sort=A","Dates=H","DateFormat=P","Fill=—","Direction=H","UseDPDF=Y")</f>
        <v>57726</v>
      </c>
      <c r="AO39" s="16">
        <f>_xll.BDH("XOM US Equity","NON_CUR_LIAB","FQ1 2008","FQ1 2008","Currency=USD","Period=FQ","BEST_FPERIOD_OVERRIDE=FQ","FILING_STATUS=OR","SCALING_FORMAT=MLN","Sort=A","Dates=H","DateFormat=P","Fill=—","Direction=H","UseDPDF=Y")</f>
        <v>64080</v>
      </c>
      <c r="AP39" s="16">
        <f>_xll.BDH("XOM US Equity","NON_CUR_LIAB","FQ2 2008","FQ2 2008","Currency=USD","Period=FQ","BEST_FPERIOD_OVERRIDE=FQ","FILING_STATUS=OR","SCALING_FORMAT=MLN","Sort=A","Dates=H","DateFormat=P","Fill=—","Direction=H","UseDPDF=Y")</f>
        <v>64699</v>
      </c>
    </row>
    <row r="40" spans="1:42" x14ac:dyDescent="0.25">
      <c r="A40" s="6" t="s">
        <v>239</v>
      </c>
      <c r="B40" s="6" t="s">
        <v>240</v>
      </c>
      <c r="C40" s="16">
        <f>_xll.BDH("XOM US Equity","BS_TOT_LIAB2","FQ3 1998","FQ3 1998","Currency=USD","Period=FQ","BEST_FPERIOD_OVERRIDE=FQ","FILING_STATUS=OR","SCALING_FORMAT=MLN","Sort=A","Dates=H","DateFormat=P","Fill=—","Direction=H","UseDPDF=Y")</f>
        <v>51468</v>
      </c>
      <c r="D40" s="16">
        <f>_xll.BDH("XOM US Equity","BS_TOT_LIAB2","FQ4 1998","FQ4 1998","Currency=USD","Period=FQ","BEST_FPERIOD_OVERRIDE=FQ","FILING_STATUS=OR","SCALING_FORMAT=MLN","Sort=A","Dates=H","DateFormat=P","Fill=—","Direction=H","UseDPDF=Y")</f>
        <v>47073</v>
      </c>
      <c r="E40" s="16">
        <f>_xll.BDH("XOM US Equity","BS_TOT_LIAB2","FQ1 1999","FQ1 1999","Currency=USD","Period=FQ","BEST_FPERIOD_OVERRIDE=FQ","FILING_STATUS=OR","SCALING_FORMAT=MLN","Sort=A","Dates=H","DateFormat=P","Fill=—","Direction=H","UseDPDF=Y")</f>
        <v>47729</v>
      </c>
      <c r="F40" s="16">
        <f>_xll.BDH("XOM US Equity","BS_TOT_LIAB2","FQ2 1999","FQ2 1999","Currency=USD","Period=FQ","BEST_FPERIOD_OVERRIDE=FQ","FILING_STATUS=OR","SCALING_FORMAT=MLN","Sort=A","Dates=H","DateFormat=P","Fill=—","Direction=H","UseDPDF=Y")</f>
        <v>48406</v>
      </c>
      <c r="G40" s="16">
        <f>_xll.BDH("XOM US Equity","BS_TOT_LIAB2","FQ3 1999","FQ3 1999","Currency=USD","Period=FQ","BEST_FPERIOD_OVERRIDE=FQ","FILING_STATUS=OR","SCALING_FORMAT=MLN","Sort=A","Dates=H","DateFormat=P","Fill=—","Direction=H","UseDPDF=Y")</f>
        <v>50560</v>
      </c>
      <c r="H40" s="16">
        <f>_xll.BDH("XOM US Equity","BS_TOT_LIAB2","FQ4 1999","FQ4 1999","Currency=USD","Period=FQ","BEST_FPERIOD_OVERRIDE=FQ","FILING_STATUS=OR","SCALING_FORMAT=MLN","Sort=A","Dates=H","DateFormat=P","Fill=—","Direction=H","UseDPDF=Y")</f>
        <v>77367</v>
      </c>
      <c r="I40" s="16">
        <f>_xll.BDH("XOM US Equity","BS_TOT_LIAB2","FQ1 2000","FQ1 2000","Currency=USD","Period=FQ","BEST_FPERIOD_OVERRIDE=FQ","FILING_STATUS=OR","SCALING_FORMAT=MLN","Sort=A","Dates=H","DateFormat=P","Fill=—","Direction=H","UseDPDF=Y")</f>
        <v>78633</v>
      </c>
      <c r="J40" s="16">
        <f>_xll.BDH("XOM US Equity","BS_TOT_LIAB2","FQ2 2000","FQ2 2000","Currency=USD","Period=FQ","BEST_FPERIOD_OVERRIDE=FQ","FILING_STATUS=OR","SCALING_FORMAT=MLN","Sort=A","Dates=H","DateFormat=P","Fill=—","Direction=H","UseDPDF=Y")</f>
        <v>79682</v>
      </c>
      <c r="K40" s="16">
        <f>_xll.BDH("XOM US Equity","BS_TOT_LIAB2","FQ3 2000","FQ3 2000","Currency=USD","Period=FQ","BEST_FPERIOD_OVERRIDE=FQ","FILING_STATUS=OR","SCALING_FORMAT=MLN","Sort=A","Dates=H","DateFormat=P","Fill=—","Direction=H","UseDPDF=Y")</f>
        <v>80141</v>
      </c>
      <c r="L40" s="16">
        <f>_xll.BDH("XOM US Equity","BS_TOT_LIAB2","FQ4 2000","FQ4 2000","Currency=USD","Period=FQ","BEST_FPERIOD_OVERRIDE=FQ","FILING_STATUS=OR","SCALING_FORMAT=MLN","Sort=A","Dates=H","DateFormat=P","Fill=—","Direction=H","UseDPDF=Y")</f>
        <v>75013</v>
      </c>
      <c r="M40" s="16">
        <f>_xll.BDH("XOM US Equity","BS_TOT_LIAB2","FQ1 2001","FQ1 2001","Currency=USD","Period=FQ","BEST_FPERIOD_OVERRIDE=FQ","FILING_STATUS=OR","SCALING_FORMAT=MLN","Sort=A","Dates=H","DateFormat=P","Fill=—","Direction=H","UseDPDF=Y")</f>
        <v>76897</v>
      </c>
      <c r="N40" s="16">
        <f>_xll.BDH("XOM US Equity","BS_TOT_LIAB2","FQ2 2001","FQ2 2001","Currency=USD","Period=FQ","BEST_FPERIOD_OVERRIDE=FQ","FILING_STATUS=OR","SCALING_FORMAT=MLN","Sort=A","Dates=H","DateFormat=P","Fill=—","Direction=H","UseDPDF=Y")</f>
        <v>74686</v>
      </c>
      <c r="O40" s="16">
        <f>_xll.BDH("XOM US Equity","BS_TOT_LIAB2","FQ3 2001","FQ3 2001","Currency=USD","Period=FQ","BEST_FPERIOD_OVERRIDE=FQ","FILING_STATUS=OR","SCALING_FORMAT=MLN","Sort=A","Dates=H","DateFormat=P","Fill=—","Direction=H","UseDPDF=Y")</f>
        <v>74079</v>
      </c>
      <c r="P40" s="16">
        <f>_xll.BDH("XOM US Equity","BS_TOT_LIAB2","FQ4 2001","FQ4 2001","Currency=USD","Period=FQ","BEST_FPERIOD_OVERRIDE=FQ","FILING_STATUS=OR","SCALING_FORMAT=MLN","Sort=A","Dates=H","DateFormat=P","Fill=—","Direction=H","UseDPDF=Y")</f>
        <v>67188</v>
      </c>
      <c r="Q40" s="16">
        <f>_xll.BDH("XOM US Equity","BS_TOT_LIAB2","FQ1 2002","FQ1 2002","Currency=USD","Period=FQ","BEST_FPERIOD_OVERRIDE=FQ","FILING_STATUS=OR","SCALING_FORMAT=MLN","Sort=A","Dates=H","DateFormat=P","Fill=—","Direction=H","UseDPDF=Y")</f>
        <v>69670</v>
      </c>
      <c r="R40" s="16">
        <f>_xll.BDH("XOM US Equity","BS_TOT_LIAB2","FQ2 2002","FQ2 2002","Currency=USD","Period=FQ","BEST_FPERIOD_OVERRIDE=FQ","FILING_STATUS=OR","SCALING_FORMAT=MLN","Sort=A","Dates=H","DateFormat=P","Fill=—","Direction=H","UseDPDF=Y")</f>
        <v>73114</v>
      </c>
      <c r="S40" s="16">
        <f>_xll.BDH("XOM US Equity","BS_TOT_LIAB2","FQ3 2002","FQ3 2002","Currency=USD","Period=FQ","BEST_FPERIOD_OVERRIDE=FQ","FILING_STATUS=OR","SCALING_FORMAT=MLN","Sort=A","Dates=H","DateFormat=P","Fill=—","Direction=H","UseDPDF=Y")</f>
        <v>74783</v>
      </c>
      <c r="T40" s="16">
        <f>_xll.BDH("XOM US Equity","BS_TOT_LIAB2","FQ4 2002","FQ4 2002","Currency=USD","Period=FQ","BEST_FPERIOD_OVERRIDE=FQ","FILING_STATUS=OR","SCALING_FORMAT=MLN","Sort=A","Dates=H","DateFormat=P","Fill=—","Direction=H","UseDPDF=Y")</f>
        <v>75279</v>
      </c>
      <c r="U40" s="16">
        <f>_xll.BDH("XOM US Equity","BS_TOT_LIAB2","FQ1 2003","FQ1 2003","Currency=USD","Period=FQ","BEST_FPERIOD_OVERRIDE=FQ","FILING_STATUS=OR","SCALING_FORMAT=MLN","Sort=A","Dates=H","DateFormat=P","Fill=—","Direction=H","UseDPDF=Y")</f>
        <v>82910</v>
      </c>
      <c r="V40" s="16">
        <f>_xll.BDH("XOM US Equity","BS_TOT_LIAB2","FQ2 2003","FQ2 2003","Currency=USD","Period=FQ","BEST_FPERIOD_OVERRIDE=FQ","FILING_STATUS=OR","SCALING_FORMAT=MLN","Sort=A","Dates=H","DateFormat=P","Fill=—","Direction=H","UseDPDF=Y")</f>
        <v>82522</v>
      </c>
      <c r="W40" s="16">
        <f>_xll.BDH("XOM US Equity","BS_TOT_LIAB2","FQ3 2003","FQ3 2003","Currency=USD","Period=FQ","BEST_FPERIOD_OVERRIDE=FQ","FILING_STATUS=OR","SCALING_FORMAT=MLN","Sort=A","Dates=H","DateFormat=P","Fill=—","Direction=H","UseDPDF=Y")</f>
        <v>83223</v>
      </c>
      <c r="X40" s="16">
        <f>_xll.BDH("XOM US Equity","BS_TOT_LIAB2","FQ4 2003","FQ4 2003","Currency=USD","Period=FQ","BEST_FPERIOD_OVERRIDE=FQ","FILING_STATUS=OR","SCALING_FORMAT=MLN","Sort=A","Dates=H","DateFormat=P","Fill=—","Direction=H","UseDPDF=Y")</f>
        <v>80981</v>
      </c>
      <c r="Y40" s="16">
        <f>_xll.BDH("XOM US Equity","BS_TOT_LIAB2","FQ1 2004","FQ1 2004","Currency=USD","Period=FQ","BEST_FPERIOD_OVERRIDE=FQ","FILING_STATUS=OR","SCALING_FORMAT=MLN","Sort=A","Dates=H","DateFormat=P","Fill=—","Direction=H","UseDPDF=Y")</f>
        <v>88521</v>
      </c>
      <c r="Z40" s="16">
        <f>_xll.BDH("XOM US Equity","BS_TOT_LIAB2","FQ2 2004","FQ2 2004","Currency=USD","Period=FQ","BEST_FPERIOD_OVERRIDE=FQ","FILING_STATUS=OR","SCALING_FORMAT=MLN","Sort=A","Dates=H","DateFormat=P","Fill=—","Direction=H","UseDPDF=Y")</f>
        <v>87454</v>
      </c>
      <c r="AA40" s="16">
        <f>_xll.BDH("XOM US Equity","BS_TOT_LIAB2","FQ3 2004","FQ3 2004","Currency=USD","Period=FQ","BEST_FPERIOD_OVERRIDE=FQ","FILING_STATUS=OR","SCALING_FORMAT=MLN","Sort=A","Dates=H","DateFormat=P","Fill=—","Direction=H","UseDPDF=Y")</f>
        <v>91991</v>
      </c>
      <c r="AB40" s="16">
        <f>_xll.BDH("XOM US Equity","BS_TOT_LIAB2","FQ4 2004","FQ4 2004","Currency=USD","Period=FQ","BEST_FPERIOD_OVERRIDE=FQ","FILING_STATUS=OR","SCALING_FORMAT=MLN","Sort=A","Dates=H","DateFormat=P","Fill=—","Direction=H","UseDPDF=Y")</f>
        <v>89548</v>
      </c>
      <c r="AC40" s="16">
        <f>_xll.BDH("XOM US Equity","BS_TOT_LIAB2","FQ1 2005","FQ1 2005","Currency=USD","Period=FQ","BEST_FPERIOD_OVERRIDE=FQ","FILING_STATUS=OR","SCALING_FORMAT=MLN","Sort=A","Dates=H","DateFormat=P","Fill=—","Direction=H","UseDPDF=Y")</f>
        <v>97554</v>
      </c>
      <c r="AD40" s="16">
        <f>_xll.BDH("XOM US Equity","BS_TOT_LIAB2","FQ2 2005","FQ2 2005","Currency=USD","Period=FQ","BEST_FPERIOD_OVERRIDE=FQ","FILING_STATUS=OR","SCALING_FORMAT=MLN","Sort=A","Dates=H","DateFormat=P","Fill=—","Direction=H","UseDPDF=Y")</f>
        <v>97220</v>
      </c>
      <c r="AE40" s="16">
        <f>_xll.BDH("XOM US Equity","BS_TOT_LIAB2","FQ3 2005","FQ3 2005","Currency=USD","Period=FQ","BEST_FPERIOD_OVERRIDE=FQ","FILING_STATUS=OR","SCALING_FORMAT=MLN","Sort=A","Dates=H","DateFormat=P","Fill=—","Direction=H","UseDPDF=Y")</f>
        <v>101831</v>
      </c>
      <c r="AF40" s="16">
        <f>_xll.BDH("XOM US Equity","BS_TOT_LIAB2","FQ4 2005","FQ4 2005","Currency=USD","Period=FQ","BEST_FPERIOD_OVERRIDE=FQ","FILING_STATUS=OR","SCALING_FORMAT=MLN","Sort=A","Dates=H","DateFormat=P","Fill=—","Direction=H","UseDPDF=Y")</f>
        <v>93622</v>
      </c>
      <c r="AG40" s="16">
        <f>_xll.BDH("XOM US Equity","BS_TOT_LIAB2","FQ1 2006","FQ1 2006","Currency=USD","Period=FQ","BEST_FPERIOD_OVERRIDE=FQ","FILING_STATUS=OR","SCALING_FORMAT=MLN","Sort=A","Dates=H","DateFormat=P","Fill=—","Direction=H","UseDPDF=Y")</f>
        <v>103539</v>
      </c>
      <c r="AH40" s="16">
        <f>_xll.BDH("XOM US Equity","BS_TOT_LIAB2","FQ2 2006","FQ2 2006","Currency=USD","Period=FQ","BEST_FPERIOD_OVERRIDE=FQ","FILING_STATUS=OR","SCALING_FORMAT=MLN","Sort=A","Dates=H","DateFormat=P","Fill=—","Direction=H","UseDPDF=Y")</f>
        <v>105246</v>
      </c>
      <c r="AI40" s="16">
        <f>_xll.BDH("XOM US Equity","BS_TOT_LIAB2","FQ3 2006","FQ3 2006","Currency=USD","Period=FQ","BEST_FPERIOD_OVERRIDE=FQ","FILING_STATUS=OR","SCALING_FORMAT=MLN","Sort=A","Dates=H","DateFormat=P","Fill=—","Direction=H","UseDPDF=Y")</f>
        <v>107354</v>
      </c>
      <c r="AJ40" s="16">
        <f>_xll.BDH("XOM US Equity","BS_TOT_LIAB2","FQ4 2006","FQ4 2006","Currency=USD","Period=FQ","BEST_FPERIOD_OVERRIDE=FQ","FILING_STATUS=OR","SCALING_FORMAT=MLN","Sort=A","Dates=H","DateFormat=P","Fill=—","Direction=H","UseDPDF=Y")</f>
        <v>105171</v>
      </c>
      <c r="AK40" s="16">
        <f>_xll.BDH("XOM US Equity","BS_TOT_LIAB2","FQ1 2007","FQ1 2007","Currency=USD","Period=FQ","BEST_FPERIOD_OVERRIDE=FQ","FILING_STATUS=OR","SCALING_FORMAT=MLN","Sort=A","Dates=H","DateFormat=P","Fill=—","Direction=H","UseDPDF=Y")</f>
        <v>109189</v>
      </c>
      <c r="AL40" s="16">
        <f>_xll.BDH("XOM US Equity","BS_TOT_LIAB2","FQ2 2007","FQ2 2007","Currency=USD","Period=FQ","BEST_FPERIOD_OVERRIDE=FQ","FILING_STATUS=OR","SCALING_FORMAT=MLN","Sort=A","Dates=H","DateFormat=P","Fill=—","Direction=H","UseDPDF=Y")</f>
        <v>111965</v>
      </c>
      <c r="AM40" s="16">
        <f>_xll.BDH("XOM US Equity","BS_TOT_LIAB2","FQ3 2007","FQ3 2007","Currency=USD","Period=FQ","BEST_FPERIOD_OVERRIDE=FQ","FILING_STATUS=OR","SCALING_FORMAT=MLN","Sort=A","Dates=H","DateFormat=P","Fill=—","Direction=H","UseDPDF=Y")</f>
        <v>118058</v>
      </c>
      <c r="AN40" s="16">
        <f>_xll.BDH("XOM US Equity","BS_TOT_LIAB2","FQ4 2007","FQ4 2007","Currency=USD","Period=FQ","BEST_FPERIOD_OVERRIDE=FQ","FILING_STATUS=OR","SCALING_FORMAT=MLN","Sort=A","Dates=H","DateFormat=P","Fill=—","Direction=H","UseDPDF=Y")</f>
        <v>116038</v>
      </c>
      <c r="AO40" s="16">
        <f>_xll.BDH("XOM US Equity","BS_TOT_LIAB2","FQ1 2008","FQ1 2008","Currency=USD","Period=FQ","BEST_FPERIOD_OVERRIDE=FQ","FILING_STATUS=OR","SCALING_FORMAT=MLN","Sort=A","Dates=H","DateFormat=P","Fill=—","Direction=H","UseDPDF=Y")</f>
        <v>135063</v>
      </c>
      <c r="AP40" s="16">
        <f>_xll.BDH("XOM US Equity","BS_TOT_LIAB2","FQ2 2008","FQ2 2008","Currency=USD","Period=FQ","BEST_FPERIOD_OVERRIDE=FQ","FILING_STATUS=OR","SCALING_FORMAT=MLN","Sort=A","Dates=H","DateFormat=P","Fill=—","Direction=H","UseDPDF=Y")</f>
        <v>141932</v>
      </c>
    </row>
    <row r="41" spans="1:42" x14ac:dyDescent="0.25">
      <c r="A41" s="10" t="s">
        <v>241</v>
      </c>
      <c r="B41" s="10" t="s">
        <v>242</v>
      </c>
      <c r="C41" s="13">
        <f>_xll.BDH("XOM US Equity","BS_PFD_EQTY_&amp;_HYBRID_CPTL","FQ3 1998","FQ3 1998","Currency=USD","Period=FQ","BEST_FPERIOD_OVERRIDE=FQ","FILING_STATUS=OR","SCALING_FORMAT=MLN","Sort=A","Dates=H","DateFormat=P","Fill=—","Direction=H","UseDPDF=Y")</f>
        <v>119</v>
      </c>
      <c r="D41" s="13">
        <f>_xll.BDH("XOM US Equity","BS_PFD_EQTY_&amp;_HYBRID_CPTL","FQ4 1998","FQ4 1998","Currency=USD","Period=FQ","BEST_FPERIOD_OVERRIDE=FQ","FILING_STATUS=OR","SCALING_FORMAT=MLN","Sort=A","Dates=H","DateFormat=P","Fill=—","Direction=H","UseDPDF=Y")</f>
        <v>105</v>
      </c>
      <c r="E41" s="13">
        <f>_xll.BDH("XOM US Equity","BS_PFD_EQTY_&amp;_HYBRID_CPTL","FQ1 1999","FQ1 1999","Currency=USD","Period=FQ","BEST_FPERIOD_OVERRIDE=FQ","FILING_STATUS=OR","SCALING_FORMAT=MLN","Sort=A","Dates=H","DateFormat=P","Fill=—","Direction=H","UseDPDF=Y")</f>
        <v>91</v>
      </c>
      <c r="F41" s="13">
        <f>_xll.BDH("XOM US Equity","BS_PFD_EQTY_&amp;_HYBRID_CPTL","FQ2 1999","FQ2 1999","Currency=USD","Period=FQ","BEST_FPERIOD_OVERRIDE=FQ","FILING_STATUS=OR","SCALING_FORMAT=MLN","Sort=A","Dates=H","DateFormat=P","Fill=—","Direction=H","UseDPDF=Y")</f>
        <v>44</v>
      </c>
      <c r="G41" s="13">
        <f>_xll.BDH("XOM US Equity","BS_PFD_EQTY_&amp;_HYBRID_CPTL","FQ3 1999","FQ3 1999","Currency=USD","Period=FQ","BEST_FPERIOD_OVERRIDE=FQ","FILING_STATUS=OR","SCALING_FORMAT=MLN","Sort=A","Dates=H","DateFormat=P","Fill=—","Direction=H","UseDPDF=Y")</f>
        <v>31</v>
      </c>
      <c r="H41" s="13">
        <f>_xll.BDH("XOM US Equity","BS_PFD_EQTY_&amp;_HYBRID_CPTL","FQ4 1999","FQ4 1999","Currency=USD","Period=FQ","BEST_FPERIOD_OVERRIDE=FQ","FILING_STATUS=OR","SCALING_FORMAT=MLN","Sort=A","Dates=H","DateFormat=P","Fill=—","Direction=H","UseDPDF=Y")</f>
        <v>0</v>
      </c>
      <c r="I41" s="13">
        <f>_xll.BDH("XOM US Equity","BS_PFD_EQTY_&amp;_HYBRID_CPTL","FQ1 2000","FQ1 2000","Currency=USD","Period=FQ","BEST_FPERIOD_OVERRIDE=FQ","FILING_STATUS=OR","SCALING_FORMAT=MLN","Sort=A","Dates=H","DateFormat=P","Fill=—","Direction=H","UseDPDF=Y")</f>
        <v>0</v>
      </c>
      <c r="J41" s="13" t="str">
        <f>_xll.BDH("XOM US Equity","BS_PFD_EQTY_&amp;_HYBRID_CPTL","FQ2 2000","FQ2 2000","Currency=USD","Period=FQ","BEST_FPERIOD_OVERRIDE=FQ","FILING_STATUS=OR","SCALING_FORMAT=MLN","Sort=A","Dates=H","DateFormat=P","Fill=—","Direction=H","UseDPDF=Y")</f>
        <v>—</v>
      </c>
      <c r="K41" s="13" t="str">
        <f>_xll.BDH("XOM US Equity","BS_PFD_EQTY_&amp;_HYBRID_CPTL","FQ3 2000","FQ3 2000","Currency=USD","Period=FQ","BEST_FPERIOD_OVERRIDE=FQ","FILING_STATUS=OR","SCALING_FORMAT=MLN","Sort=A","Dates=H","DateFormat=P","Fill=—","Direction=H","UseDPDF=Y")</f>
        <v>—</v>
      </c>
      <c r="L41" s="13">
        <f>_xll.BDH("XOM US Equity","BS_PFD_EQTY_&amp;_HYBRID_CPTL","FQ4 2000","FQ4 2000","Currency=USD","Period=FQ","BEST_FPERIOD_OVERRIDE=FQ","FILING_STATUS=OR","SCALING_FORMAT=MLN","Sort=A","Dates=H","DateFormat=P","Fill=—","Direction=H","UseDPDF=Y")</f>
        <v>0</v>
      </c>
      <c r="M41" s="13" t="str">
        <f>_xll.BDH("XOM US Equity","BS_PFD_EQTY_&amp;_HYBRID_CPTL","FQ1 2001","FQ1 2001","Currency=USD","Period=FQ","BEST_FPERIOD_OVERRIDE=FQ","FILING_STATUS=OR","SCALING_FORMAT=MLN","Sort=A","Dates=H","DateFormat=P","Fill=—","Direction=H","UseDPDF=Y")</f>
        <v>—</v>
      </c>
      <c r="N41" s="13">
        <f>_xll.BDH("XOM US Equity","BS_PFD_EQTY_&amp;_HYBRID_CPTL","FQ2 2001","FQ2 2001","Currency=USD","Period=FQ","BEST_FPERIOD_OVERRIDE=FQ","FILING_STATUS=OR","SCALING_FORMAT=MLN","Sort=A","Dates=H","DateFormat=P","Fill=—","Direction=H","UseDPDF=Y")</f>
        <v>0</v>
      </c>
      <c r="O41" s="13">
        <f>_xll.BDH("XOM US Equity","BS_PFD_EQTY_&amp;_HYBRID_CPTL","FQ3 2001","FQ3 2001","Currency=USD","Period=FQ","BEST_FPERIOD_OVERRIDE=FQ","FILING_STATUS=OR","SCALING_FORMAT=MLN","Sort=A","Dates=H","DateFormat=P","Fill=—","Direction=H","UseDPDF=Y")</f>
        <v>0</v>
      </c>
      <c r="P41" s="13">
        <f>_xll.BDH("XOM US Equity","BS_PFD_EQTY_&amp;_HYBRID_CPTL","FQ4 2001","FQ4 2001","Currency=USD","Period=FQ","BEST_FPERIOD_OVERRIDE=FQ","FILING_STATUS=OR","SCALING_FORMAT=MLN","Sort=A","Dates=H","DateFormat=P","Fill=—","Direction=H","UseDPDF=Y")</f>
        <v>0</v>
      </c>
      <c r="Q41" s="13">
        <f>_xll.BDH("XOM US Equity","BS_PFD_EQTY_&amp;_HYBRID_CPTL","FQ1 2002","FQ1 2002","Currency=USD","Period=FQ","BEST_FPERIOD_OVERRIDE=FQ","FILING_STATUS=OR","SCALING_FORMAT=MLN","Sort=A","Dates=H","DateFormat=P","Fill=—","Direction=H","UseDPDF=Y")</f>
        <v>0</v>
      </c>
      <c r="R41" s="13">
        <f>_xll.BDH("XOM US Equity","BS_PFD_EQTY_&amp;_HYBRID_CPTL","FQ2 2002","FQ2 2002","Currency=USD","Period=FQ","BEST_FPERIOD_OVERRIDE=FQ","FILING_STATUS=OR","SCALING_FORMAT=MLN","Sort=A","Dates=H","DateFormat=P","Fill=—","Direction=H","UseDPDF=Y")</f>
        <v>0</v>
      </c>
      <c r="S41" s="13">
        <f>_xll.BDH("XOM US Equity","BS_PFD_EQTY_&amp;_HYBRID_CPTL","FQ3 2002","FQ3 2002","Currency=USD","Period=FQ","BEST_FPERIOD_OVERRIDE=FQ","FILING_STATUS=OR","SCALING_FORMAT=MLN","Sort=A","Dates=H","DateFormat=P","Fill=—","Direction=H","UseDPDF=Y")</f>
        <v>0</v>
      </c>
      <c r="T41" s="13">
        <f>_xll.BDH("XOM US Equity","BS_PFD_EQTY_&amp;_HYBRID_CPTL","FQ4 2002","FQ4 2002","Currency=USD","Period=FQ","BEST_FPERIOD_OVERRIDE=FQ","FILING_STATUS=OR","SCALING_FORMAT=MLN","Sort=A","Dates=H","DateFormat=P","Fill=—","Direction=H","UseDPDF=Y")</f>
        <v>0</v>
      </c>
      <c r="U41" s="13">
        <f>_xll.BDH("XOM US Equity","BS_PFD_EQTY_&amp;_HYBRID_CPTL","FQ1 2003","FQ1 2003","Currency=USD","Period=FQ","BEST_FPERIOD_OVERRIDE=FQ","FILING_STATUS=OR","SCALING_FORMAT=MLN","Sort=A","Dates=H","DateFormat=P","Fill=—","Direction=H","UseDPDF=Y")</f>
        <v>0</v>
      </c>
      <c r="V41" s="13">
        <f>_xll.BDH("XOM US Equity","BS_PFD_EQTY_&amp;_HYBRID_CPTL","FQ2 2003","FQ2 2003","Currency=USD","Period=FQ","BEST_FPERIOD_OVERRIDE=FQ","FILING_STATUS=OR","SCALING_FORMAT=MLN","Sort=A","Dates=H","DateFormat=P","Fill=—","Direction=H","UseDPDF=Y")</f>
        <v>0</v>
      </c>
      <c r="W41" s="13">
        <f>_xll.BDH("XOM US Equity","BS_PFD_EQTY_&amp;_HYBRID_CPTL","FQ3 2003","FQ3 2003","Currency=USD","Period=FQ","BEST_FPERIOD_OVERRIDE=FQ","FILING_STATUS=OR","SCALING_FORMAT=MLN","Sort=A","Dates=H","DateFormat=P","Fill=—","Direction=H","UseDPDF=Y")</f>
        <v>0</v>
      </c>
      <c r="X41" s="13">
        <f>_xll.BDH("XOM US Equity","BS_PFD_EQTY_&amp;_HYBRID_CPTL","FQ4 2003","FQ4 2003","Currency=USD","Period=FQ","BEST_FPERIOD_OVERRIDE=FQ","FILING_STATUS=OR","SCALING_FORMAT=MLN","Sort=A","Dates=H","DateFormat=P","Fill=—","Direction=H","UseDPDF=Y")</f>
        <v>0</v>
      </c>
      <c r="Y41" s="13">
        <f>_xll.BDH("XOM US Equity","BS_PFD_EQTY_&amp;_HYBRID_CPTL","FQ1 2004","FQ1 2004","Currency=USD","Period=FQ","BEST_FPERIOD_OVERRIDE=FQ","FILING_STATUS=OR","SCALING_FORMAT=MLN","Sort=A","Dates=H","DateFormat=P","Fill=—","Direction=H","UseDPDF=Y")</f>
        <v>0</v>
      </c>
      <c r="Z41" s="13">
        <f>_xll.BDH("XOM US Equity","BS_PFD_EQTY_&amp;_HYBRID_CPTL","FQ2 2004","FQ2 2004","Currency=USD","Period=FQ","BEST_FPERIOD_OVERRIDE=FQ","FILING_STATUS=OR","SCALING_FORMAT=MLN","Sort=A","Dates=H","DateFormat=P","Fill=—","Direction=H","UseDPDF=Y")</f>
        <v>0</v>
      </c>
      <c r="AA41" s="13">
        <f>_xll.BDH("XOM US Equity","BS_PFD_EQTY_&amp;_HYBRID_CPTL","FQ3 2004","FQ3 2004","Currency=USD","Period=FQ","BEST_FPERIOD_OVERRIDE=FQ","FILING_STATUS=OR","SCALING_FORMAT=MLN","Sort=A","Dates=H","DateFormat=P","Fill=—","Direction=H","UseDPDF=Y")</f>
        <v>0</v>
      </c>
      <c r="AB41" s="13">
        <f>_xll.BDH("XOM US Equity","BS_PFD_EQTY_&amp;_HYBRID_CPTL","FQ4 2004","FQ4 2004","Currency=USD","Period=FQ","BEST_FPERIOD_OVERRIDE=FQ","FILING_STATUS=OR","SCALING_FORMAT=MLN","Sort=A","Dates=H","DateFormat=P","Fill=—","Direction=H","UseDPDF=Y")</f>
        <v>0</v>
      </c>
      <c r="AC41" s="13">
        <f>_xll.BDH("XOM US Equity","BS_PFD_EQTY_&amp;_HYBRID_CPTL","FQ1 2005","FQ1 2005","Currency=USD","Period=FQ","BEST_FPERIOD_OVERRIDE=FQ","FILING_STATUS=OR","SCALING_FORMAT=MLN","Sort=A","Dates=H","DateFormat=P","Fill=—","Direction=H","UseDPDF=Y")</f>
        <v>0</v>
      </c>
      <c r="AD41" s="13">
        <f>_xll.BDH("XOM US Equity","BS_PFD_EQTY_&amp;_HYBRID_CPTL","FQ2 2005","FQ2 2005","Currency=USD","Period=FQ","BEST_FPERIOD_OVERRIDE=FQ","FILING_STATUS=OR","SCALING_FORMAT=MLN","Sort=A","Dates=H","DateFormat=P","Fill=—","Direction=H","UseDPDF=Y")</f>
        <v>0</v>
      </c>
      <c r="AE41" s="13">
        <f>_xll.BDH("XOM US Equity","BS_PFD_EQTY_&amp;_HYBRID_CPTL","FQ3 2005","FQ3 2005","Currency=USD","Period=FQ","BEST_FPERIOD_OVERRIDE=FQ","FILING_STATUS=OR","SCALING_FORMAT=MLN","Sort=A","Dates=H","DateFormat=P","Fill=—","Direction=H","UseDPDF=Y")</f>
        <v>0</v>
      </c>
      <c r="AF41" s="13">
        <f>_xll.BDH("XOM US Equity","BS_PFD_EQTY_&amp;_HYBRID_CPTL","FQ4 2005","FQ4 2005","Currency=USD","Period=FQ","BEST_FPERIOD_OVERRIDE=FQ","FILING_STATUS=OR","SCALING_FORMAT=MLN","Sort=A","Dates=H","DateFormat=P","Fill=—","Direction=H","UseDPDF=Y")</f>
        <v>0</v>
      </c>
      <c r="AG41" s="13" t="str">
        <f>_xll.BDH("XOM US Equity","BS_PFD_EQTY_&amp;_HYBRID_CPTL","FQ1 2006","FQ1 2006","Currency=USD","Period=FQ","BEST_FPERIOD_OVERRIDE=FQ","FILING_STATUS=OR","SCALING_FORMAT=MLN","Sort=A","Dates=H","DateFormat=P","Fill=—","Direction=H","UseDPDF=Y")</f>
        <v>—</v>
      </c>
      <c r="AH41" s="13" t="str">
        <f>_xll.BDH("XOM US Equity","BS_PFD_EQTY_&amp;_HYBRID_CPTL","FQ2 2006","FQ2 2006","Currency=USD","Period=FQ","BEST_FPERIOD_OVERRIDE=FQ","FILING_STATUS=OR","SCALING_FORMAT=MLN","Sort=A","Dates=H","DateFormat=P","Fill=—","Direction=H","UseDPDF=Y")</f>
        <v>—</v>
      </c>
      <c r="AI41" s="13" t="str">
        <f>_xll.BDH("XOM US Equity","BS_PFD_EQTY_&amp;_HYBRID_CPTL","FQ3 2006","FQ3 2006","Currency=USD","Period=FQ","BEST_FPERIOD_OVERRIDE=FQ","FILING_STATUS=OR","SCALING_FORMAT=MLN","Sort=A","Dates=H","DateFormat=P","Fill=—","Direction=H","UseDPDF=Y")</f>
        <v>—</v>
      </c>
      <c r="AJ41" s="13">
        <f>_xll.BDH("XOM US Equity","BS_PFD_EQTY_&amp;_HYBRID_CPTL","FQ4 2006","FQ4 2006","Currency=USD","Period=FQ","BEST_FPERIOD_OVERRIDE=FQ","FILING_STATUS=OR","SCALING_FORMAT=MLN","Sort=A","Dates=H","DateFormat=P","Fill=—","Direction=H","UseDPDF=Y")</f>
        <v>0</v>
      </c>
      <c r="AK41" s="13">
        <f>_xll.BDH("XOM US Equity","BS_PFD_EQTY_&amp;_HYBRID_CPTL","FQ1 2007","FQ1 2007","Currency=USD","Period=FQ","BEST_FPERIOD_OVERRIDE=FQ","FILING_STATUS=OR","SCALING_FORMAT=MLN","Sort=A","Dates=H","DateFormat=P","Fill=—","Direction=H","UseDPDF=Y")</f>
        <v>0</v>
      </c>
      <c r="AL41" s="13">
        <f>_xll.BDH("XOM US Equity","BS_PFD_EQTY_&amp;_HYBRID_CPTL","FQ2 2007","FQ2 2007","Currency=USD","Period=FQ","BEST_FPERIOD_OVERRIDE=FQ","FILING_STATUS=OR","SCALING_FORMAT=MLN","Sort=A","Dates=H","DateFormat=P","Fill=—","Direction=H","UseDPDF=Y")</f>
        <v>0</v>
      </c>
      <c r="AM41" s="13">
        <f>_xll.BDH("XOM US Equity","BS_PFD_EQTY_&amp;_HYBRID_CPTL","FQ3 2007","FQ3 2007","Currency=USD","Period=FQ","BEST_FPERIOD_OVERRIDE=FQ","FILING_STATUS=OR","SCALING_FORMAT=MLN","Sort=A","Dates=H","DateFormat=P","Fill=—","Direction=H","UseDPDF=Y")</f>
        <v>0</v>
      </c>
      <c r="AN41" s="13">
        <f>_xll.BDH("XOM US Equity","BS_PFD_EQTY_&amp;_HYBRID_CPTL","FQ4 2007","FQ4 2007","Currency=USD","Period=FQ","BEST_FPERIOD_OVERRIDE=FQ","FILING_STATUS=OR","SCALING_FORMAT=MLN","Sort=A","Dates=H","DateFormat=P","Fill=—","Direction=H","UseDPDF=Y")</f>
        <v>0</v>
      </c>
      <c r="AO41" s="13">
        <f>_xll.BDH("XOM US Equity","BS_PFD_EQTY_&amp;_HYBRID_CPTL","FQ1 2008","FQ1 2008","Currency=USD","Period=FQ","BEST_FPERIOD_OVERRIDE=FQ","FILING_STATUS=OR","SCALING_FORMAT=MLN","Sort=A","Dates=H","DateFormat=P","Fill=—","Direction=H","UseDPDF=Y")</f>
        <v>0</v>
      </c>
      <c r="AP41" s="13">
        <f>_xll.BDH("XOM US Equity","BS_PFD_EQTY_&amp;_HYBRID_CPTL","FQ2 2008","FQ2 2008","Currency=USD","Period=FQ","BEST_FPERIOD_OVERRIDE=FQ","FILING_STATUS=OR","SCALING_FORMAT=MLN","Sort=A","Dates=H","DateFormat=P","Fill=—","Direction=H","UseDPDF=Y")</f>
        <v>0</v>
      </c>
    </row>
    <row r="42" spans="1:42" x14ac:dyDescent="0.25">
      <c r="A42" s="10" t="s">
        <v>243</v>
      </c>
      <c r="B42" s="10" t="s">
        <v>244</v>
      </c>
      <c r="C42" s="13">
        <f>_xll.BDH("XOM US Equity","BS_SH_CAP_AND_APIC","FQ3 1998","FQ3 1998","Currency=USD","Period=FQ","BEST_FPERIOD_OVERRIDE=FQ","FILING_STATUS=OR","SCALING_FORMAT=MLN","Sort=A","Dates=H","DateFormat=P","Fill=—","Direction=H","UseDPDF=Y")</f>
        <v>2323</v>
      </c>
      <c r="D42" s="13">
        <f>_xll.BDH("XOM US Equity","BS_SH_CAP_AND_APIC","FQ4 1998","FQ4 1998","Currency=USD","Period=FQ","BEST_FPERIOD_OVERRIDE=FQ","FILING_STATUS=OR","SCALING_FORMAT=MLN","Sort=A","Dates=H","DateFormat=P","Fill=—","Direction=H","UseDPDF=Y")</f>
        <v>2323</v>
      </c>
      <c r="E42" s="13">
        <f>_xll.BDH("XOM US Equity","BS_SH_CAP_AND_APIC","FQ1 1999","FQ1 1999","Currency=USD","Period=FQ","BEST_FPERIOD_OVERRIDE=FQ","FILING_STATUS=OR","SCALING_FORMAT=MLN","Sort=A","Dates=H","DateFormat=P","Fill=—","Direction=H","UseDPDF=Y")</f>
        <v>2323</v>
      </c>
      <c r="F42" s="13">
        <f>_xll.BDH("XOM US Equity","BS_SH_CAP_AND_APIC","FQ2 1999","FQ2 1999","Currency=USD","Period=FQ","BEST_FPERIOD_OVERRIDE=FQ","FILING_STATUS=OR","SCALING_FORMAT=MLN","Sort=A","Dates=H","DateFormat=P","Fill=—","Direction=H","UseDPDF=Y")</f>
        <v>2323</v>
      </c>
      <c r="G42" s="13">
        <f>_xll.BDH("XOM US Equity","BS_SH_CAP_AND_APIC","FQ3 1999","FQ3 1999","Currency=USD","Period=FQ","BEST_FPERIOD_OVERRIDE=FQ","FILING_STATUS=OR","SCALING_FORMAT=MLN","Sort=A","Dates=H","DateFormat=P","Fill=—","Direction=H","UseDPDF=Y")</f>
        <v>2323</v>
      </c>
      <c r="H42" s="13">
        <f>_xll.BDH("XOM US Equity","BS_SH_CAP_AND_APIC","FQ4 1999","FQ4 1999","Currency=USD","Period=FQ","BEST_FPERIOD_OVERRIDE=FQ","FILING_STATUS=OR","SCALING_FORMAT=MLN","Sort=A","Dates=H","DateFormat=P","Fill=—","Direction=H","UseDPDF=Y")</f>
        <v>3403</v>
      </c>
      <c r="I42" s="13">
        <f>_xll.BDH("XOM US Equity","BS_SH_CAP_AND_APIC","FQ1 2000","FQ1 2000","Currency=USD","Period=FQ","BEST_FPERIOD_OVERRIDE=FQ","FILING_STATUS=OR","SCALING_FORMAT=MLN","Sort=A","Dates=H","DateFormat=P","Fill=—","Direction=H","UseDPDF=Y")</f>
        <v>3461</v>
      </c>
      <c r="J42" s="13">
        <f>_xll.BDH("XOM US Equity","BS_SH_CAP_AND_APIC","FQ2 2000","FQ2 2000","Currency=USD","Period=FQ","BEST_FPERIOD_OVERRIDE=FQ","FILING_STATUS=OR","SCALING_FORMAT=MLN","Sort=A","Dates=H","DateFormat=P","Fill=—","Direction=H","UseDPDF=Y")</f>
        <v>3510</v>
      </c>
      <c r="K42" s="13">
        <f>_xll.BDH("XOM US Equity","BS_SH_CAP_AND_APIC","FQ3 2000","FQ3 2000","Currency=USD","Period=FQ","BEST_FPERIOD_OVERRIDE=FQ","FILING_STATUS=OR","SCALING_FORMAT=MLN","Sort=A","Dates=H","DateFormat=P","Fill=—","Direction=H","UseDPDF=Y")</f>
        <v>3589</v>
      </c>
      <c r="L42" s="13">
        <f>_xll.BDH("XOM US Equity","BS_SH_CAP_AND_APIC","FQ4 2000","FQ4 2000","Currency=USD","Period=FQ","BEST_FPERIOD_OVERRIDE=FQ","FILING_STATUS=OR","SCALING_FORMAT=MLN","Sort=A","Dates=H","DateFormat=P","Fill=—","Direction=H","UseDPDF=Y")</f>
        <v>3661</v>
      </c>
      <c r="M42" s="13">
        <f>_xll.BDH("XOM US Equity","BS_SH_CAP_AND_APIC","FQ1 2001","FQ1 2001","Currency=USD","Period=FQ","BEST_FPERIOD_OVERRIDE=FQ","FILING_STATUS=OR","SCALING_FORMAT=MLN","Sort=A","Dates=H","DateFormat=P","Fill=—","Direction=H","UseDPDF=Y")</f>
        <v>3692</v>
      </c>
      <c r="N42" s="13">
        <f>_xll.BDH("XOM US Equity","BS_SH_CAP_AND_APIC","FQ2 2001","FQ2 2001","Currency=USD","Period=FQ","BEST_FPERIOD_OVERRIDE=FQ","FILING_STATUS=OR","SCALING_FORMAT=MLN","Sort=A","Dates=H","DateFormat=P","Fill=—","Direction=H","UseDPDF=Y")</f>
        <v>3745</v>
      </c>
      <c r="O42" s="13">
        <f>_xll.BDH("XOM US Equity","BS_SH_CAP_AND_APIC","FQ3 2001","FQ3 2001","Currency=USD","Period=FQ","BEST_FPERIOD_OVERRIDE=FQ","FILING_STATUS=OR","SCALING_FORMAT=MLN","Sort=A","Dates=H","DateFormat=P","Fill=—","Direction=H","UseDPDF=Y")</f>
        <v>3752</v>
      </c>
      <c r="P42" s="13">
        <f>_xll.BDH("XOM US Equity","BS_SH_CAP_AND_APIC","FQ4 2001","FQ4 2001","Currency=USD","Period=FQ","BEST_FPERIOD_OVERRIDE=FQ","FILING_STATUS=OR","SCALING_FORMAT=MLN","Sort=A","Dates=H","DateFormat=P","Fill=—","Direction=H","UseDPDF=Y")</f>
        <v>3789</v>
      </c>
      <c r="Q42" s="13">
        <f>_xll.BDH("XOM US Equity","BS_SH_CAP_AND_APIC","FQ1 2002","FQ1 2002","Currency=USD","Period=FQ","BEST_FPERIOD_OVERRIDE=FQ","FILING_STATUS=OR","SCALING_FORMAT=MLN","Sort=A","Dates=H","DateFormat=P","Fill=—","Direction=H","UseDPDF=Y")</f>
        <v>3828</v>
      </c>
      <c r="R42" s="13">
        <f>_xll.BDH("XOM US Equity","BS_SH_CAP_AND_APIC","FQ2 2002","FQ2 2002","Currency=USD","Period=FQ","BEST_FPERIOD_OVERRIDE=FQ","FILING_STATUS=OR","SCALING_FORMAT=MLN","Sort=A","Dates=H","DateFormat=P","Fill=—","Direction=H","UseDPDF=Y")</f>
        <v>3843</v>
      </c>
      <c r="S42" s="13">
        <f>_xll.BDH("XOM US Equity","BS_SH_CAP_AND_APIC","FQ3 2002","FQ3 2002","Currency=USD","Period=FQ","BEST_FPERIOD_OVERRIDE=FQ","FILING_STATUS=OR","SCALING_FORMAT=MLN","Sort=A","Dates=H","DateFormat=P","Fill=—","Direction=H","UseDPDF=Y")</f>
        <v>3851</v>
      </c>
      <c r="T42" s="13">
        <f>_xll.BDH("XOM US Equity","BS_SH_CAP_AND_APIC","FQ4 2002","FQ4 2002","Currency=USD","Period=FQ","BEST_FPERIOD_OVERRIDE=FQ","FILING_STATUS=OR","SCALING_FORMAT=MLN","Sort=A","Dates=H","DateFormat=P","Fill=—","Direction=H","UseDPDF=Y")</f>
        <v>4217</v>
      </c>
      <c r="U42" s="13">
        <f>_xll.BDH("XOM US Equity","BS_SH_CAP_AND_APIC","FQ1 2003","FQ1 2003","Currency=USD","Period=FQ","BEST_FPERIOD_OVERRIDE=FQ","FILING_STATUS=OR","SCALING_FORMAT=MLN","Sort=A","Dates=H","DateFormat=P","Fill=—","Direction=H","UseDPDF=Y")</f>
        <v>4071</v>
      </c>
      <c r="V42" s="13">
        <f>_xll.BDH("XOM US Equity","BS_SH_CAP_AND_APIC","FQ2 2003","FQ2 2003","Currency=USD","Period=FQ","BEST_FPERIOD_OVERRIDE=FQ","FILING_STATUS=OR","SCALING_FORMAT=MLN","Sort=A","Dates=H","DateFormat=P","Fill=—","Direction=H","UseDPDF=Y")</f>
        <v>4089</v>
      </c>
      <c r="W42" s="13">
        <f>_xll.BDH("XOM US Equity","BS_SH_CAP_AND_APIC","FQ3 2003","FQ3 2003","Currency=USD","Period=FQ","BEST_FPERIOD_OVERRIDE=FQ","FILING_STATUS=OR","SCALING_FORMAT=MLN","Sort=A","Dates=H","DateFormat=P","Fill=—","Direction=H","UseDPDF=Y")</f>
        <v>4100</v>
      </c>
      <c r="X42" s="13">
        <f>_xll.BDH("XOM US Equity","BS_SH_CAP_AND_APIC","FQ4 2003","FQ4 2003","Currency=USD","Period=FQ","BEST_FPERIOD_OVERRIDE=FQ","FILING_STATUS=OR","SCALING_FORMAT=MLN","Sort=A","Dates=H","DateFormat=P","Fill=—","Direction=H","UseDPDF=Y")</f>
        <v>4468</v>
      </c>
      <c r="Y42" s="13">
        <f>_xll.BDH("XOM US Equity","BS_SH_CAP_AND_APIC","FQ1 2004","FQ1 2004","Currency=USD","Period=FQ","BEST_FPERIOD_OVERRIDE=FQ","FILING_STATUS=OR","SCALING_FORMAT=MLN","Sort=A","Dates=H","DateFormat=P","Fill=—","Direction=H","UseDPDF=Y")</f>
        <v>4339</v>
      </c>
      <c r="Z42" s="13">
        <f>_xll.BDH("XOM US Equity","BS_SH_CAP_AND_APIC","FQ2 2004","FQ2 2004","Currency=USD","Period=FQ","BEST_FPERIOD_OVERRIDE=FQ","FILING_STATUS=OR","SCALING_FORMAT=MLN","Sort=A","Dates=H","DateFormat=P","Fill=—","Direction=H","UseDPDF=Y")</f>
        <v>4388</v>
      </c>
      <c r="AA42" s="13">
        <f>_xll.BDH("XOM US Equity","BS_SH_CAP_AND_APIC","FQ3 2004","FQ3 2004","Currency=USD","Period=FQ","BEST_FPERIOD_OVERRIDE=FQ","FILING_STATUS=OR","SCALING_FORMAT=MLN","Sort=A","Dates=H","DateFormat=P","Fill=—","Direction=H","UseDPDF=Y")</f>
        <v>4452</v>
      </c>
      <c r="AB42" s="13">
        <f>_xll.BDH("XOM US Equity","BS_SH_CAP_AND_APIC","FQ4 2004","FQ4 2004","Currency=USD","Period=FQ","BEST_FPERIOD_OVERRIDE=FQ","FILING_STATUS=OR","SCALING_FORMAT=MLN","Sort=A","Dates=H","DateFormat=P","Fill=—","Direction=H","UseDPDF=Y")</f>
        <v>5067</v>
      </c>
      <c r="AC42" s="13">
        <f>_xll.BDH("XOM US Equity","BS_SH_CAP_AND_APIC","FQ1 2005","FQ1 2005","Currency=USD","Period=FQ","BEST_FPERIOD_OVERRIDE=FQ","FILING_STATUS=OR","SCALING_FORMAT=MLN","Sort=A","Dates=H","DateFormat=P","Fill=—","Direction=H","UseDPDF=Y")</f>
        <v>5070</v>
      </c>
      <c r="AD42" s="13">
        <f>_xll.BDH("XOM US Equity","BS_SH_CAP_AND_APIC","FQ2 2005","FQ2 2005","Currency=USD","Period=FQ","BEST_FPERIOD_OVERRIDE=FQ","FILING_STATUS=OR","SCALING_FORMAT=MLN","Sort=A","Dates=H","DateFormat=P","Fill=—","Direction=H","UseDPDF=Y")</f>
        <v>5100</v>
      </c>
      <c r="AE42" s="13">
        <f>_xll.BDH("XOM US Equity","BS_SH_CAP_AND_APIC","FQ3 2005","FQ3 2005","Currency=USD","Period=FQ","BEST_FPERIOD_OVERRIDE=FQ","FILING_STATUS=OR","SCALING_FORMAT=MLN","Sort=A","Dates=H","DateFormat=P","Fill=—","Direction=H","UseDPDF=Y")</f>
        <v>5176</v>
      </c>
      <c r="AF42" s="13">
        <f>_xll.BDH("XOM US Equity","BS_SH_CAP_AND_APIC","FQ4 2005","FQ4 2005","Currency=USD","Period=FQ","BEST_FPERIOD_OVERRIDE=FQ","FILING_STATUS=OR","SCALING_FORMAT=MLN","Sort=A","Dates=H","DateFormat=P","Fill=—","Direction=H","UseDPDF=Y")</f>
        <v>5743</v>
      </c>
      <c r="AG42" s="13">
        <f>_xll.BDH("XOM US Equity","BS_SH_CAP_AND_APIC","FQ1 2006","FQ1 2006","Currency=USD","Period=FQ","BEST_FPERIOD_OVERRIDE=FQ","FILING_STATUS=OR","SCALING_FORMAT=MLN","Sort=A","Dates=H","DateFormat=P","Fill=—","Direction=H","UseDPDF=Y")</f>
        <v>4397</v>
      </c>
      <c r="AH42" s="13">
        <f>_xll.BDH("XOM US Equity","BS_SH_CAP_AND_APIC","FQ2 2006","FQ2 2006","Currency=USD","Period=FQ","BEST_FPERIOD_OVERRIDE=FQ","FILING_STATUS=OR","SCALING_FORMAT=MLN","Sort=A","Dates=H","DateFormat=P","Fill=—","Direction=H","UseDPDF=Y")</f>
        <v>4499</v>
      </c>
      <c r="AI42" s="13">
        <f>_xll.BDH("XOM US Equity","BS_SH_CAP_AND_APIC","FQ3 2006","FQ3 2006","Currency=USD","Period=FQ","BEST_FPERIOD_OVERRIDE=FQ","FILING_STATUS=OR","SCALING_FORMAT=MLN","Sort=A","Dates=H","DateFormat=P","Fill=—","Direction=H","UseDPDF=Y")</f>
        <v>4665</v>
      </c>
      <c r="AJ42" s="13">
        <f>_xll.BDH("XOM US Equity","BS_SH_CAP_AND_APIC","FQ4 2006","FQ4 2006","Currency=USD","Period=FQ","BEST_FPERIOD_OVERRIDE=FQ","FILING_STATUS=OR","SCALING_FORMAT=MLN","Sort=A","Dates=H","DateFormat=P","Fill=—","Direction=H","UseDPDF=Y")</f>
        <v>4786</v>
      </c>
      <c r="AK42" s="13">
        <f>_xll.BDH("XOM US Equity","BS_SH_CAP_AND_APIC","FQ1 2007","FQ1 2007","Currency=USD","Period=FQ","BEST_FPERIOD_OVERRIDE=FQ","FILING_STATUS=OR","SCALING_FORMAT=MLN","Sort=A","Dates=H","DateFormat=P","Fill=—","Direction=H","UseDPDF=Y")</f>
        <v>4530</v>
      </c>
      <c r="AL42" s="13">
        <f>_xll.BDH("XOM US Equity","BS_SH_CAP_AND_APIC","FQ2 2007","FQ2 2007","Currency=USD","Period=FQ","BEST_FPERIOD_OVERRIDE=FQ","FILING_STATUS=OR","SCALING_FORMAT=MLN","Sort=A","Dates=H","DateFormat=P","Fill=—","Direction=H","UseDPDF=Y")</f>
        <v>4795</v>
      </c>
      <c r="AM42" s="13">
        <f>_xll.BDH("XOM US Equity","BS_SH_CAP_AND_APIC","FQ3 2007","FQ3 2007","Currency=USD","Period=FQ","BEST_FPERIOD_OVERRIDE=FQ","FILING_STATUS=OR","SCALING_FORMAT=MLN","Sort=A","Dates=H","DateFormat=P","Fill=—","Direction=H","UseDPDF=Y")</f>
        <v>4988</v>
      </c>
      <c r="AN42" s="13">
        <f>_xll.BDH("XOM US Equity","BS_SH_CAP_AND_APIC","FQ4 2007","FQ4 2007","Currency=USD","Period=FQ","BEST_FPERIOD_OVERRIDE=FQ","FILING_STATUS=OR","SCALING_FORMAT=MLN","Sort=A","Dates=H","DateFormat=P","Fill=—","Direction=H","UseDPDF=Y")</f>
        <v>4933</v>
      </c>
      <c r="AO42" s="13">
        <f>_xll.BDH("XOM US Equity","BS_SH_CAP_AND_APIC","FQ1 2008","FQ1 2008","Currency=USD","Period=FQ","BEST_FPERIOD_OVERRIDE=FQ","FILING_STATUS=OR","SCALING_FORMAT=MLN","Sort=A","Dates=H","DateFormat=P","Fill=—","Direction=H","UseDPDF=Y")</f>
        <v>4745</v>
      </c>
      <c r="AP42" s="13">
        <f>_xll.BDH("XOM US Equity","BS_SH_CAP_AND_APIC","FQ2 2008","FQ2 2008","Currency=USD","Period=FQ","BEST_FPERIOD_OVERRIDE=FQ","FILING_STATUS=OR","SCALING_FORMAT=MLN","Sort=A","Dates=H","DateFormat=P","Fill=—","Direction=H","UseDPDF=Y")</f>
        <v>4904</v>
      </c>
    </row>
    <row r="43" spans="1:42" x14ac:dyDescent="0.25">
      <c r="A43" s="10" t="s">
        <v>245</v>
      </c>
      <c r="B43" s="10" t="s">
        <v>246</v>
      </c>
      <c r="C43" s="13">
        <f>_xll.BDH("XOM US Equity","BS_AMT_OF_TSY_STOCK","FQ3 1998","FQ3 1998","Currency=USD","Period=FQ","BEST_FPERIOD_OVERRIDE=FQ","FILING_STATUS=OR","SCALING_FORMAT=MLN","Sort=A","Dates=H","DateFormat=P","Fill=—","Direction=H","UseDPDF=Y")</f>
        <v>11825</v>
      </c>
      <c r="D43" s="13">
        <f>_xll.BDH("XOM US Equity","BS_AMT_OF_TSY_STOCK","FQ4 1998","FQ4 1998","Currency=USD","Period=FQ","BEST_FPERIOD_OVERRIDE=FQ","FILING_STATUS=OR","SCALING_FORMAT=MLN","Sort=A","Dates=H","DateFormat=P","Fill=—","Direction=H","UseDPDF=Y")</f>
        <v>12205</v>
      </c>
      <c r="E43" s="13">
        <f>_xll.BDH("XOM US Equity","BS_AMT_OF_TSY_STOCK","FQ1 1999","FQ1 1999","Currency=USD","Period=FQ","BEST_FPERIOD_OVERRIDE=FQ","FILING_STATUS=OR","SCALING_FORMAT=MLN","Sort=A","Dates=H","DateFormat=P","Fill=—","Direction=H","UseDPDF=Y")</f>
        <v>12287</v>
      </c>
      <c r="F43" s="13">
        <f>_xll.BDH("XOM US Equity","BS_AMT_OF_TSY_STOCK","FQ2 1999","FQ2 1999","Currency=USD","Period=FQ","BEST_FPERIOD_OVERRIDE=FQ","FILING_STATUS=OR","SCALING_FORMAT=MLN","Sort=A","Dates=H","DateFormat=P","Fill=—","Direction=H","UseDPDF=Y")</f>
        <v>12464</v>
      </c>
      <c r="G43" s="13">
        <f>_xll.BDH("XOM US Equity","BS_AMT_OF_TSY_STOCK","FQ3 1999","FQ3 1999","Currency=USD","Period=FQ","BEST_FPERIOD_OVERRIDE=FQ","FILING_STATUS=OR","SCALING_FORMAT=MLN","Sort=A","Dates=H","DateFormat=P","Fill=—","Direction=H","UseDPDF=Y")</f>
        <v>12510</v>
      </c>
      <c r="H43" s="13">
        <f>_xll.BDH("XOM US Equity","BS_AMT_OF_TSY_STOCK","FQ4 1999","FQ4 1999","Currency=USD","Period=FQ","BEST_FPERIOD_OVERRIDE=FQ","FILING_STATUS=OR","SCALING_FORMAT=MLN","Sort=A","Dates=H","DateFormat=P","Fill=—","Direction=H","UseDPDF=Y")</f>
        <v>12126</v>
      </c>
      <c r="I43" s="13">
        <f>_xll.BDH("XOM US Equity","BS_AMT_OF_TSY_STOCK","FQ1 2000","FQ1 2000","Currency=USD","Period=FQ","BEST_FPERIOD_OVERRIDE=FQ","FILING_STATUS=OR","SCALING_FORMAT=MLN","Sort=A","Dates=H","DateFormat=P","Fill=—","Direction=H","UseDPDF=Y")</f>
        <v>12049</v>
      </c>
      <c r="J43" s="13">
        <f>_xll.BDH("XOM US Equity","BS_AMT_OF_TSY_STOCK","FQ2 2000","FQ2 2000","Currency=USD","Period=FQ","BEST_FPERIOD_OVERRIDE=FQ","FILING_STATUS=OR","SCALING_FORMAT=MLN","Sort=A","Dates=H","DateFormat=P","Fill=—","Direction=H","UseDPDF=Y")</f>
        <v>11996</v>
      </c>
      <c r="K43" s="13">
        <f>_xll.BDH("XOM US Equity","BS_AMT_OF_TSY_STOCK","FQ3 2000","FQ3 2000","Currency=USD","Period=FQ","BEST_FPERIOD_OVERRIDE=FQ","FILING_STATUS=OR","SCALING_FORMAT=MLN","Sort=A","Dates=H","DateFormat=P","Fill=—","Direction=H","UseDPDF=Y")</f>
        <v>12888</v>
      </c>
      <c r="L43" s="13">
        <f>_xll.BDH("XOM US Equity","BS_AMT_OF_TSY_STOCK","FQ4 2000","FQ4 2000","Currency=USD","Period=FQ","BEST_FPERIOD_OVERRIDE=FQ","FILING_STATUS=OR","SCALING_FORMAT=MLN","Sort=A","Dates=H","DateFormat=P","Fill=—","Direction=H","UseDPDF=Y")</f>
        <v>14132</v>
      </c>
      <c r="M43" s="13">
        <f>_xll.BDH("XOM US Equity","BS_AMT_OF_TSY_STOCK","FQ1 2001","FQ1 2001","Currency=USD","Period=FQ","BEST_FPERIOD_OVERRIDE=FQ","FILING_STATUS=OR","SCALING_FORMAT=MLN","Sort=A","Dates=H","DateFormat=P","Fill=—","Direction=H","UseDPDF=Y")</f>
        <v>15510</v>
      </c>
      <c r="N43" s="13">
        <f>_xll.BDH("XOM US Equity","BS_AMT_OF_TSY_STOCK","FQ2 2001","FQ2 2001","Currency=USD","Period=FQ","BEST_FPERIOD_OVERRIDE=FQ","FILING_STATUS=OR","SCALING_FORMAT=MLN","Sort=A","Dates=H","DateFormat=P","Fill=—","Direction=H","UseDPDF=Y")</f>
        <v>16939</v>
      </c>
      <c r="O43" s="13">
        <f>_xll.BDH("XOM US Equity","BS_AMT_OF_TSY_STOCK","FQ3 2001","FQ3 2001","Currency=USD","Period=FQ","BEST_FPERIOD_OVERRIDE=FQ","FILING_STATUS=OR","SCALING_FORMAT=MLN","Sort=A","Dates=H","DateFormat=P","Fill=—","Direction=H","UseDPDF=Y")</f>
        <v>18230</v>
      </c>
      <c r="P43" s="13">
        <f>_xll.BDH("XOM US Equity","BS_AMT_OF_TSY_STOCK","FQ4 2001","FQ4 2001","Currency=USD","Period=FQ","BEST_FPERIOD_OVERRIDE=FQ","FILING_STATUS=OR","SCALING_FORMAT=MLN","Sort=A","Dates=H","DateFormat=P","Fill=—","Direction=H","UseDPDF=Y")</f>
        <v>19597</v>
      </c>
      <c r="Q43" s="13">
        <f>_xll.BDH("XOM US Equity","BS_AMT_OF_TSY_STOCK","FQ1 2002","FQ1 2002","Currency=USD","Period=FQ","BEST_FPERIOD_OVERRIDE=FQ","FILING_STATUS=OR","SCALING_FORMAT=MLN","Sort=A","Dates=H","DateFormat=P","Fill=—","Direction=H","UseDPDF=Y")</f>
        <v>20899</v>
      </c>
      <c r="R43" s="13">
        <f>_xll.BDH("XOM US Equity","BS_AMT_OF_TSY_STOCK","FQ2 2002","FQ2 2002","Currency=USD","Period=FQ","BEST_FPERIOD_OVERRIDE=FQ","FILING_STATUS=OR","SCALING_FORMAT=MLN","Sort=A","Dates=H","DateFormat=P","Fill=—","Direction=H","UseDPDF=Y")</f>
        <v>21959</v>
      </c>
      <c r="S43" s="13">
        <f>_xll.BDH("XOM US Equity","BS_AMT_OF_TSY_STOCK","FQ3 2002","FQ3 2002","Currency=USD","Period=FQ","BEST_FPERIOD_OVERRIDE=FQ","FILING_STATUS=OR","SCALING_FORMAT=MLN","Sort=A","Dates=H","DateFormat=P","Fill=—","Direction=H","UseDPDF=Y")</f>
        <v>22990</v>
      </c>
      <c r="T43" s="13">
        <f>_xll.BDH("XOM US Equity","BS_AMT_OF_TSY_STOCK","FQ4 2002","FQ4 2002","Currency=USD","Period=FQ","BEST_FPERIOD_OVERRIDE=FQ","FILING_STATUS=OR","SCALING_FORMAT=MLN","Sort=A","Dates=H","DateFormat=P","Fill=—","Direction=H","UseDPDF=Y")</f>
        <v>24770</v>
      </c>
      <c r="U43" s="13">
        <f>_xll.BDH("XOM US Equity","BS_AMT_OF_TSY_STOCK","FQ1 2003","FQ1 2003","Currency=USD","Period=FQ","BEST_FPERIOD_OVERRIDE=FQ","FILING_STATUS=OR","SCALING_FORMAT=MLN","Sort=A","Dates=H","DateFormat=P","Fill=—","Direction=H","UseDPDF=Y")</f>
        <v>25012</v>
      </c>
      <c r="V43" s="13">
        <f>_xll.BDH("XOM US Equity","BS_AMT_OF_TSY_STOCK","FQ2 2003","FQ2 2003","Currency=USD","Period=FQ","BEST_FPERIOD_OVERRIDE=FQ","FILING_STATUS=OR","SCALING_FORMAT=MLN","Sort=A","Dates=H","DateFormat=P","Fill=—","Direction=H","UseDPDF=Y")</f>
        <v>26105</v>
      </c>
      <c r="W43" s="13">
        <f>_xll.BDH("XOM US Equity","BS_AMT_OF_TSY_STOCK","FQ3 2003","FQ3 2003","Currency=USD","Period=FQ","BEST_FPERIOD_OVERRIDE=FQ","FILING_STATUS=OR","SCALING_FORMAT=MLN","Sort=A","Dates=H","DateFormat=P","Fill=—","Direction=H","UseDPDF=Y")</f>
        <v>27688</v>
      </c>
      <c r="X43" s="13">
        <f>_xll.BDH("XOM US Equity","BS_AMT_OF_TSY_STOCK","FQ4 2003","FQ4 2003","Currency=USD","Period=FQ","BEST_FPERIOD_OVERRIDE=FQ","FILING_STATUS=OR","SCALING_FORMAT=MLN","Sort=A","Dates=H","DateFormat=P","Fill=—","Direction=H","UseDPDF=Y")</f>
        <v>29361</v>
      </c>
      <c r="Y43" s="13">
        <f>_xll.BDH("XOM US Equity","BS_AMT_OF_TSY_STOCK","FQ1 2004","FQ1 2004","Currency=USD","Period=FQ","BEST_FPERIOD_OVERRIDE=FQ","FILING_STATUS=OR","SCALING_FORMAT=MLN","Sort=A","Dates=H","DateFormat=P","Fill=—","Direction=H","UseDPDF=Y")</f>
        <v>30922</v>
      </c>
      <c r="Z43" s="13">
        <f>_xll.BDH("XOM US Equity","BS_AMT_OF_TSY_STOCK","FQ2 2004","FQ2 2004","Currency=USD","Period=FQ","BEST_FPERIOD_OVERRIDE=FQ","FILING_STATUS=OR","SCALING_FORMAT=MLN","Sort=A","Dates=H","DateFormat=P","Fill=—","Direction=H","UseDPDF=Y")</f>
        <v>32652</v>
      </c>
      <c r="AA43" s="13">
        <f>_xll.BDH("XOM US Equity","BS_AMT_OF_TSY_STOCK","FQ3 2004","FQ3 2004","Currency=USD","Period=FQ","BEST_FPERIOD_OVERRIDE=FQ","FILING_STATUS=OR","SCALING_FORMAT=MLN","Sort=A","Dates=H","DateFormat=P","Fill=—","Direction=H","UseDPDF=Y")</f>
        <v>35422</v>
      </c>
      <c r="AB43" s="13">
        <f>_xll.BDH("XOM US Equity","BS_AMT_OF_TSY_STOCK","FQ4 2004","FQ4 2004","Currency=USD","Period=FQ","BEST_FPERIOD_OVERRIDE=FQ","FILING_STATUS=OR","SCALING_FORMAT=MLN","Sort=A","Dates=H","DateFormat=P","Fill=—","Direction=H","UseDPDF=Y")</f>
        <v>38214</v>
      </c>
      <c r="AC43" s="13">
        <f>_xll.BDH("XOM US Equity","BS_AMT_OF_TSY_STOCK","FQ1 2005","FQ1 2005","Currency=USD","Period=FQ","BEST_FPERIOD_OVERRIDE=FQ","FILING_STATUS=OR","SCALING_FORMAT=MLN","Sort=A","Dates=H","DateFormat=P","Fill=—","Direction=H","UseDPDF=Y")</f>
        <v>41152</v>
      </c>
      <c r="AD43" s="13">
        <f>_xll.BDH("XOM US Equity","BS_AMT_OF_TSY_STOCK","FQ2 2005","FQ2 2005","Currency=USD","Period=FQ","BEST_FPERIOD_OVERRIDE=FQ","FILING_STATUS=OR","SCALING_FORMAT=MLN","Sort=A","Dates=H","DateFormat=P","Fill=—","Direction=H","UseDPDF=Y")</f>
        <v>44772</v>
      </c>
      <c r="AE43" s="13">
        <f>_xll.BDH("XOM US Equity","BS_AMT_OF_TSY_STOCK","FQ3 2005","FQ3 2005","Currency=USD","Period=FQ","BEST_FPERIOD_OVERRIDE=FQ","FILING_STATUS=OR","SCALING_FORMAT=MLN","Sort=A","Dates=H","DateFormat=P","Fill=—","Direction=H","UseDPDF=Y")</f>
        <v>50078</v>
      </c>
      <c r="AF43" s="13">
        <f>_xll.BDH("XOM US Equity","BS_AMT_OF_TSY_STOCK","FQ4 2005","FQ4 2005","Currency=USD","Period=FQ","BEST_FPERIOD_OVERRIDE=FQ","FILING_STATUS=OR","SCALING_FORMAT=MLN","Sort=A","Dates=H","DateFormat=P","Fill=—","Direction=H","UseDPDF=Y")</f>
        <v>55347</v>
      </c>
      <c r="AG43" s="13">
        <f>_xll.BDH("XOM US Equity","BS_AMT_OF_TSY_STOCK","FQ1 2006","FQ1 2006","Currency=USD","Period=FQ","BEST_FPERIOD_OVERRIDE=FQ","FILING_STATUS=OR","SCALING_FORMAT=MLN","Sort=A","Dates=H","DateFormat=P","Fill=—","Direction=H","UseDPDF=Y")</f>
        <v>60830</v>
      </c>
      <c r="AH43" s="13">
        <f>_xll.BDH("XOM US Equity","BS_AMT_OF_TSY_STOCK","FQ2 2006","FQ2 2006","Currency=USD","Period=FQ","BEST_FPERIOD_OVERRIDE=FQ","FILING_STATUS=OR","SCALING_FORMAT=MLN","Sort=A","Dates=H","DateFormat=P","Fill=—","Direction=H","UseDPDF=Y")</f>
        <v>67460</v>
      </c>
      <c r="AI43" s="13">
        <f>_xll.BDH("XOM US Equity","BS_AMT_OF_TSY_STOCK","FQ3 2006","FQ3 2006","Currency=USD","Period=FQ","BEST_FPERIOD_OVERRIDE=FQ","FILING_STATUS=OR","SCALING_FORMAT=MLN","Sort=A","Dates=H","DateFormat=P","Fill=—","Direction=H","UseDPDF=Y")</f>
        <v>75430</v>
      </c>
      <c r="AJ43" s="13">
        <f>_xll.BDH("XOM US Equity","BS_AMT_OF_TSY_STOCK","FQ4 2006","FQ4 2006","Currency=USD","Period=FQ","BEST_FPERIOD_OVERRIDE=FQ","FILING_STATUS=OR","SCALING_FORMAT=MLN","Sort=A","Dates=H","DateFormat=P","Fill=—","Direction=H","UseDPDF=Y")</f>
        <v>83387</v>
      </c>
      <c r="AK43" s="13">
        <f>_xll.BDH("XOM US Equity","BS_AMT_OF_TSY_STOCK","FQ1 2007","FQ1 2007","Currency=USD","Period=FQ","BEST_FPERIOD_OVERRIDE=FQ","FILING_STATUS=OR","SCALING_FORMAT=MLN","Sort=A","Dates=H","DateFormat=P","Fill=—","Direction=H","UseDPDF=Y")</f>
        <v>90858</v>
      </c>
      <c r="AL43" s="13">
        <f>_xll.BDH("XOM US Equity","BS_AMT_OF_TSY_STOCK","FQ2 2007","FQ2 2007","Currency=USD","Period=FQ","BEST_FPERIOD_OVERRIDE=FQ","FILING_STATUS=OR","SCALING_FORMAT=MLN","Sort=A","Dates=H","DateFormat=P","Fill=—","Direction=H","UseDPDF=Y")</f>
        <v>98454</v>
      </c>
      <c r="AM43" s="13">
        <f>_xll.BDH("XOM US Equity","BS_AMT_OF_TSY_STOCK","FQ3 2007","FQ3 2007","Currency=USD","Period=FQ","BEST_FPERIOD_OVERRIDE=FQ","FILING_STATUS=OR","SCALING_FORMAT=MLN","Sort=A","Dates=H","DateFormat=P","Fill=—","Direction=H","UseDPDF=Y")</f>
        <v>105995</v>
      </c>
      <c r="AN43" s="13">
        <f>_xll.BDH("XOM US Equity","BS_AMT_OF_TSY_STOCK","FQ4 2007","FQ4 2007","Currency=USD","Period=FQ","BEST_FPERIOD_OVERRIDE=FQ","FILING_STATUS=OR","SCALING_FORMAT=MLN","Sort=A","Dates=H","DateFormat=P","Fill=—","Direction=H","UseDPDF=Y")</f>
        <v>113678</v>
      </c>
      <c r="AO43" s="13">
        <f>_xll.BDH("XOM US Equity","BS_AMT_OF_TSY_STOCK","FQ1 2008","FQ1 2008","Currency=USD","Period=FQ","BEST_FPERIOD_OVERRIDE=FQ","FILING_STATUS=OR","SCALING_FORMAT=MLN","Sort=A","Dates=H","DateFormat=P","Fill=—","Direction=H","UseDPDF=Y")</f>
        <v>122639</v>
      </c>
      <c r="AP43" s="13">
        <f>_xll.BDH("XOM US Equity","BS_AMT_OF_TSY_STOCK","FQ2 2008","FQ2 2008","Currency=USD","Period=FQ","BEST_FPERIOD_OVERRIDE=FQ","FILING_STATUS=OR","SCALING_FORMAT=MLN","Sort=A","Dates=H","DateFormat=P","Fill=—","Direction=H","UseDPDF=Y")</f>
        <v>131036</v>
      </c>
    </row>
    <row r="44" spans="1:42" x14ac:dyDescent="0.25">
      <c r="A44" s="10" t="s">
        <v>247</v>
      </c>
      <c r="B44" s="10" t="s">
        <v>248</v>
      </c>
      <c r="C44" s="13" t="str">
        <f>_xll.BDH("XOM US Equity","BS_PURE_RETAINED_EARNINGS","FQ3 1998","FQ3 1998","Currency=USD","Period=FQ","BEST_FPERIOD_OVERRIDE=FQ","FILING_STATUS=OR","SCALING_FORMAT=MLN","Sort=A","Dates=H","DateFormat=P","Fill=—","Direction=H","UseDPDF=Y")</f>
        <v>—</v>
      </c>
      <c r="D44" s="13">
        <f>_xll.BDH("XOM US Equity","BS_PURE_RETAINED_EARNINGS","FQ4 1998","FQ4 1998","Currency=USD","Period=FQ","BEST_FPERIOD_OVERRIDE=FQ","FILING_STATUS=OR","SCALING_FORMAT=MLN","Sort=A","Dates=H","DateFormat=P","Fill=—","Direction=H","UseDPDF=Y")</f>
        <v>54575</v>
      </c>
      <c r="E44" s="13">
        <f>_xll.BDH("XOM US Equity","BS_PURE_RETAINED_EARNINGS","FQ1 1999","FQ1 1999","Currency=USD","Period=FQ","BEST_FPERIOD_OVERRIDE=FQ","FILING_STATUS=OR","SCALING_FORMAT=MLN","Sort=A","Dates=H","DateFormat=P","Fill=—","Direction=H","UseDPDF=Y")</f>
        <v>54598</v>
      </c>
      <c r="F44" s="13">
        <f>_xll.BDH("XOM US Equity","BS_PURE_RETAINED_EARNINGS","FQ2 1999","FQ2 1999","Currency=USD","Period=FQ","BEST_FPERIOD_OVERRIDE=FQ","FILING_STATUS=OR","SCALING_FORMAT=MLN","Sort=A","Dates=H","DateFormat=P","Fill=—","Direction=H","UseDPDF=Y")</f>
        <v>54807</v>
      </c>
      <c r="G44" s="13">
        <f>_xll.BDH("XOM US Equity","BS_PURE_RETAINED_EARNINGS","FQ3 1999","FQ3 1999","Currency=USD","Period=FQ","BEST_FPERIOD_OVERRIDE=FQ","FILING_STATUS=OR","SCALING_FORMAT=MLN","Sort=A","Dates=H","DateFormat=P","Fill=—","Direction=H","UseDPDF=Y")</f>
        <v>55312</v>
      </c>
      <c r="H44" s="13">
        <f>_xll.BDH("XOM US Equity","BS_PURE_RETAINED_EARNINGS","FQ4 1999","FQ4 1999","Currency=USD","Period=FQ","BEST_FPERIOD_OVERRIDE=FQ","FILING_STATUS=OR","SCALING_FORMAT=MLN","Sort=A","Dates=H","DateFormat=P","Fill=—","Direction=H","UseDPDF=Y")</f>
        <v>75055</v>
      </c>
      <c r="I44" s="13">
        <f>_xll.BDH("XOM US Equity","BS_PURE_RETAINED_EARNINGS","FQ1 2000","FQ1 2000","Currency=USD","Period=FQ","BEST_FPERIOD_OVERRIDE=FQ","FILING_STATUS=OR","SCALING_FORMAT=MLN","Sort=A","Dates=H","DateFormat=P","Fill=—","Direction=H","UseDPDF=Y")</f>
        <v>77004</v>
      </c>
      <c r="J44" s="13">
        <f>_xll.BDH("XOM US Equity","BS_PURE_RETAINED_EARNINGS","FQ2 2000","FQ2 2000","Currency=USD","Period=FQ","BEST_FPERIOD_OVERRIDE=FQ","FILING_STATUS=OR","SCALING_FORMAT=MLN","Sort=A","Dates=H","DateFormat=P","Fill=—","Direction=H","UseDPDF=Y")</f>
        <v>80002</v>
      </c>
      <c r="K44" s="13">
        <f>_xll.BDH("XOM US Equity","BS_PURE_RETAINED_EARNINGS","FQ3 2000","FQ3 2000","Currency=USD","Period=FQ","BEST_FPERIOD_OVERRIDE=FQ","FILING_STATUS=OR","SCALING_FORMAT=MLN","Sort=A","Dates=H","DateFormat=P","Fill=—","Direction=H","UseDPDF=Y")</f>
        <v>82959</v>
      </c>
      <c r="L44" s="13">
        <f>_xll.BDH("XOM US Equity","BS_PURE_RETAINED_EARNINGS","FQ4 2000","FQ4 2000","Currency=USD","Period=FQ","BEST_FPERIOD_OVERRIDE=FQ","FILING_STATUS=OR","SCALING_FORMAT=MLN","Sort=A","Dates=H","DateFormat=P","Fill=—","Direction=H","UseDPDF=Y")</f>
        <v>86652</v>
      </c>
      <c r="M44" s="13">
        <f>_xll.BDH("XOM US Equity","BS_PURE_RETAINED_EARNINGS","FQ1 2001","FQ1 2001","Currency=USD","Period=FQ","BEST_FPERIOD_OVERRIDE=FQ","FILING_STATUS=OR","SCALING_FORMAT=MLN","Sort=A","Dates=H","DateFormat=P","Fill=—","Direction=H","UseDPDF=Y")</f>
        <v>90130</v>
      </c>
      <c r="N44" s="13">
        <f>_xll.BDH("XOM US Equity","BS_PURE_RETAINED_EARNINGS","FQ2 2001","FQ2 2001","Currency=USD","Period=FQ","BEST_FPERIOD_OVERRIDE=FQ","FILING_STATUS=OR","SCALING_FORMAT=MLN","Sort=A","Dates=H","DateFormat=P","Fill=—","Direction=H","UseDPDF=Y")</f>
        <v>93006</v>
      </c>
      <c r="O44" s="13">
        <f>_xll.BDH("XOM US Equity","BS_PURE_RETAINED_EARNINGS","FQ3 2001","FQ3 2001","Currency=USD","Period=FQ","BEST_FPERIOD_OVERRIDE=FQ","FILING_STATUS=OR","SCALING_FORMAT=MLN","Sort=A","Dates=H","DateFormat=P","Fill=—","Direction=H","UseDPDF=Y")</f>
        <v>94609</v>
      </c>
      <c r="P44" s="13">
        <f>_xll.BDH("XOM US Equity","BS_PURE_RETAINED_EARNINGS","FQ4 2001","FQ4 2001","Currency=USD","Period=FQ","BEST_FPERIOD_OVERRIDE=FQ","FILING_STATUS=OR","SCALING_FORMAT=MLN","Sort=A","Dates=H","DateFormat=P","Fill=—","Direction=H","UseDPDF=Y")</f>
        <v>95718</v>
      </c>
      <c r="Q44" s="13">
        <f>_xll.BDH("XOM US Equity","BS_PURE_RETAINED_EARNINGS","FQ1 2002","FQ1 2002","Currency=USD","Period=FQ","BEST_FPERIOD_OVERRIDE=FQ","FILING_STATUS=OR","SCALING_FORMAT=MLN","Sort=A","Dates=H","DateFormat=P","Fill=—","Direction=H","UseDPDF=Y")</f>
        <v>96245</v>
      </c>
      <c r="R44" s="13">
        <f>_xll.BDH("XOM US Equity","BS_PURE_RETAINED_EARNINGS","FQ2 2002","FQ2 2002","Currency=USD","Period=FQ","BEST_FPERIOD_OVERRIDE=FQ","FILING_STATUS=OR","SCALING_FORMAT=MLN","Sort=A","Dates=H","DateFormat=P","Fill=—","Direction=H","UseDPDF=Y")</f>
        <v>97327</v>
      </c>
      <c r="S44" s="13">
        <f>_xll.BDH("XOM US Equity","BS_PURE_RETAINED_EARNINGS","FQ3 2002","FQ3 2002","Currency=USD","Period=FQ","BEST_FPERIOD_OVERRIDE=FQ","FILING_STATUS=OR","SCALING_FORMAT=MLN","Sort=A","Dates=H","DateFormat=P","Fill=—","Direction=H","UseDPDF=Y")</f>
        <v>98416</v>
      </c>
      <c r="T44" s="13">
        <f>_xll.BDH("XOM US Equity","BS_PURE_RETAINED_EARNINGS","FQ4 2002","FQ4 2002","Currency=USD","Period=FQ","BEST_FPERIOD_OVERRIDE=FQ","FILING_STATUS=OR","SCALING_FORMAT=MLN","Sort=A","Dates=H","DateFormat=P","Fill=—","Direction=H","UseDPDF=Y")</f>
        <v>100961</v>
      </c>
      <c r="U44" s="13">
        <f>_xll.BDH("XOM US Equity","BS_PURE_RETAINED_EARNINGS","FQ1 2003","FQ1 2003","Currency=USD","Period=FQ","BEST_FPERIOD_OVERRIDE=FQ","FILING_STATUS=OR","SCALING_FORMAT=MLN","Sort=A","Dates=H","DateFormat=P","Fill=—","Direction=H","UseDPDF=Y")</f>
        <v>106460</v>
      </c>
      <c r="V44" s="13">
        <f>_xll.BDH("XOM US Equity","BS_PURE_RETAINED_EARNINGS","FQ2 2003","FQ2 2003","Currency=USD","Period=FQ","BEST_FPERIOD_OVERRIDE=FQ","FILING_STATUS=OR","SCALING_FORMAT=MLN","Sort=A","Dates=H","DateFormat=P","Fill=—","Direction=H","UseDPDF=Y")</f>
        <v>108963</v>
      </c>
      <c r="W44" s="13">
        <f>_xll.BDH("XOM US Equity","BS_PURE_RETAINED_EARNINGS","FQ3 2003","FQ3 2003","Currency=USD","Period=FQ","BEST_FPERIOD_OVERRIDE=FQ","FILING_STATUS=OR","SCALING_FORMAT=MLN","Sort=A","Dates=H","DateFormat=P","Fill=—","Direction=H","UseDPDF=Y")</f>
        <v>110955</v>
      </c>
      <c r="X44" s="13">
        <f>_xll.BDH("XOM US Equity","BS_PURE_RETAINED_EARNINGS","FQ4 2003","FQ4 2003","Currency=USD","Period=FQ","BEST_FPERIOD_OVERRIDE=FQ","FILING_STATUS=OR","SCALING_FORMAT=MLN","Sort=A","Dates=H","DateFormat=P","Fill=—","Direction=H","UseDPDF=Y")</f>
        <v>115956</v>
      </c>
      <c r="Y44" s="13">
        <f>_xll.BDH("XOM US Equity","BS_PURE_RETAINED_EARNINGS","FQ1 2004","FQ1 2004","Currency=USD","Period=FQ","BEST_FPERIOD_OVERRIDE=FQ","FILING_STATUS=OR","SCALING_FORMAT=MLN","Sort=A","Dates=H","DateFormat=P","Fill=—","Direction=H","UseDPDF=Y")</f>
        <v>119754</v>
      </c>
      <c r="Z44" s="13">
        <f>_xll.BDH("XOM US Equity","BS_PURE_RETAINED_EARNINGS","FQ2 2004","FQ2 2004","Currency=USD","Period=FQ","BEST_FPERIOD_OVERRIDE=FQ","FILING_STATUS=OR","SCALING_FORMAT=MLN","Sort=A","Dates=H","DateFormat=P","Fill=—","Direction=H","UseDPDF=Y")</f>
        <v>123781</v>
      </c>
      <c r="AA44" s="13">
        <f>_xll.BDH("XOM US Equity","BS_PURE_RETAINED_EARNINGS","FQ3 2004","FQ3 2004","Currency=USD","Period=FQ","BEST_FPERIOD_OVERRIDE=FQ","FILING_STATUS=OR","SCALING_FORMAT=MLN","Sort=A","Dates=H","DateFormat=P","Fill=—","Direction=H","UseDPDF=Y")</f>
        <v>127708</v>
      </c>
      <c r="AB44" s="13">
        <f>_xll.BDH("XOM US Equity","BS_PURE_RETAINED_EARNINGS","FQ4 2004","FQ4 2004","Currency=USD","Period=FQ","BEST_FPERIOD_OVERRIDE=FQ","FILING_STATUS=OR","SCALING_FORMAT=MLN","Sort=A","Dates=H","DateFormat=P","Fill=—","Direction=H","UseDPDF=Y")</f>
        <v>134390</v>
      </c>
      <c r="AC44" s="13">
        <f>_xll.BDH("XOM US Equity","BS_PURE_RETAINED_EARNINGS","FQ1 2005","FQ1 2005","Currency=USD","Period=FQ","BEST_FPERIOD_OVERRIDE=FQ","FILING_STATUS=OR","SCALING_FORMAT=MLN","Sort=A","Dates=H","DateFormat=P","Fill=—","Direction=H","UseDPDF=Y")</f>
        <v>140522</v>
      </c>
      <c r="AD44" s="13">
        <f>_xll.BDH("XOM US Equity","BS_PURE_RETAINED_EARNINGS","FQ2 2005","FQ2 2005","Currency=USD","Period=FQ","BEST_FPERIOD_OVERRIDE=FQ","FILING_STATUS=OR","SCALING_FORMAT=MLN","Sort=A","Dates=H","DateFormat=P","Fill=—","Direction=H","UseDPDF=Y")</f>
        <v>146322</v>
      </c>
      <c r="AE44" s="13">
        <f>_xll.BDH("XOM US Equity","BS_PURE_RETAINED_EARNINGS","FQ3 2005","FQ3 2005","Currency=USD","Period=FQ","BEST_FPERIOD_OVERRIDE=FQ","FILING_STATUS=OR","SCALING_FORMAT=MLN","Sort=A","Dates=H","DateFormat=P","Fill=—","Direction=H","UseDPDF=Y")</f>
        <v>154420</v>
      </c>
      <c r="AF44" s="13">
        <f>_xll.BDH("XOM US Equity","BS_PURE_RETAINED_EARNINGS","FQ4 2005","FQ4 2005","Currency=USD","Period=FQ","BEST_FPERIOD_OVERRIDE=FQ","FILING_STATUS=OR","SCALING_FORMAT=MLN","Sort=A","Dates=H","DateFormat=P","Fill=—","Direction=H","UseDPDF=Y")</f>
        <v>163335</v>
      </c>
      <c r="AG44" s="13">
        <f>_xll.BDH("XOM US Equity","BS_PURE_RETAINED_EARNINGS","FQ1 2006","FQ1 2006","Currency=USD","Period=FQ","BEST_FPERIOD_OVERRIDE=FQ","FILING_STATUS=OR","SCALING_FORMAT=MLN","Sort=A","Dates=H","DateFormat=P","Fill=—","Direction=H","UseDPDF=Y")</f>
        <v>169778</v>
      </c>
      <c r="AH44" s="13">
        <f>_xll.BDH("XOM US Equity","BS_PURE_RETAINED_EARNINGS","FQ2 2006","FQ2 2006","Currency=USD","Period=FQ","BEST_FPERIOD_OVERRIDE=FQ","FILING_STATUS=OR","SCALING_FORMAT=MLN","Sort=A","Dates=H","DateFormat=P","Fill=—","Direction=H","UseDPDF=Y")</f>
        <v>178212</v>
      </c>
      <c r="AI44" s="13">
        <f>_xll.BDH("XOM US Equity","BS_PURE_RETAINED_EARNINGS","FQ3 2006","FQ3 2006","Currency=USD","Period=FQ","BEST_FPERIOD_OVERRIDE=FQ","FILING_STATUS=OR","SCALING_FORMAT=MLN","Sort=A","Dates=H","DateFormat=P","Fill=—","Direction=H","UseDPDF=Y")</f>
        <v>186810</v>
      </c>
      <c r="AJ44" s="13">
        <f>_xll.BDH("XOM US Equity","BS_PURE_RETAINED_EARNINGS","FQ4 2006","FQ4 2006","Currency=USD","Period=FQ","BEST_FPERIOD_OVERRIDE=FQ","FILING_STATUS=OR","SCALING_FORMAT=MLN","Sort=A","Dates=H","DateFormat=P","Fill=—","Direction=H","UseDPDF=Y")</f>
        <v>195207</v>
      </c>
      <c r="AK44" s="13">
        <f>_xll.BDH("XOM US Equity","BS_PURE_RETAINED_EARNINGS","FQ1 2007","FQ1 2007","Currency=USD","Period=FQ","BEST_FPERIOD_OVERRIDE=FQ","FILING_STATUS=OR","SCALING_FORMAT=MLN","Sort=A","Dates=H","DateFormat=P","Fill=—","Direction=H","UseDPDF=Y")</f>
        <v>202984</v>
      </c>
      <c r="AL44" s="13">
        <f>_xll.BDH("XOM US Equity","BS_PURE_RETAINED_EARNINGS","FQ2 2007","FQ2 2007","Currency=USD","Period=FQ","BEST_FPERIOD_OVERRIDE=FQ","FILING_STATUS=OR","SCALING_FORMAT=MLN","Sort=A","Dates=H","DateFormat=P","Fill=—","Direction=H","UseDPDF=Y")</f>
        <v>211283</v>
      </c>
      <c r="AM44" s="13">
        <f>_xll.BDH("XOM US Equity","BS_PURE_RETAINED_EARNINGS","FQ3 2007","FQ3 2007","Currency=USD","Period=FQ","BEST_FPERIOD_OVERRIDE=FQ","FILING_STATUS=OR","SCALING_FORMAT=MLN","Sort=A","Dates=H","DateFormat=P","Fill=—","Direction=H","UseDPDF=Y")</f>
        <v>218761</v>
      </c>
      <c r="AN44" s="13">
        <f>_xll.BDH("XOM US Equity","BS_PURE_RETAINED_EARNINGS","FQ4 2007","FQ4 2007","Currency=USD","Period=FQ","BEST_FPERIOD_OVERRIDE=FQ","FILING_STATUS=OR","SCALING_FORMAT=MLN","Sort=A","Dates=H","DateFormat=P","Fill=—","Direction=H","UseDPDF=Y")</f>
        <v>228518</v>
      </c>
      <c r="AO44" s="13">
        <f>_xll.BDH("XOM US Equity","BS_PURE_RETAINED_EARNINGS","FQ1 2008","FQ1 2008","Currency=USD","Period=FQ","BEST_FPERIOD_OVERRIDE=FQ","FILING_STATUS=OR","SCALING_FORMAT=MLN","Sort=A","Dates=H","DateFormat=P","Fill=—","Direction=H","UseDPDF=Y")</f>
        <v>237529</v>
      </c>
      <c r="AP44" s="13">
        <f>_xll.BDH("XOM US Equity","BS_PURE_RETAINED_EARNINGS","FQ2 2008","FQ2 2008","Currency=USD","Period=FQ","BEST_FPERIOD_OVERRIDE=FQ","FILING_STATUS=OR","SCALING_FORMAT=MLN","Sort=A","Dates=H","DateFormat=P","Fill=—","Direction=H","UseDPDF=Y")</f>
        <v>247111</v>
      </c>
    </row>
    <row r="45" spans="1:42" x14ac:dyDescent="0.25">
      <c r="A45" s="10" t="s">
        <v>249</v>
      </c>
      <c r="B45" s="10" t="s">
        <v>250</v>
      </c>
      <c r="C45" s="14">
        <f>_xll.BDH("XOM US Equity","OTHER_INS_RES_TO_SHRHLDR_EQY","FQ3 1998","FQ3 1998","Currency=USD","Period=FQ","BEST_FPERIOD_OVERRIDE=FQ","FILING_STATUS=OR","Sort=A","Dates=H","DateFormat=P","Fill=—","Direction=H","UseDPDF=Y")</f>
        <v>53267</v>
      </c>
      <c r="D45" s="14">
        <f>_xll.BDH("XOM US Equity","OTHER_INS_RES_TO_SHRHLDR_EQY","FQ4 1998","FQ4 1998","Currency=USD","Period=FQ","BEST_FPERIOD_OVERRIDE=FQ","FILING_STATUS=OR","Sort=A","Dates=H","DateFormat=P","Fill=—","Direction=H","UseDPDF=Y")</f>
        <v>-1048</v>
      </c>
      <c r="E45" s="14">
        <f>_xll.BDH("XOM US Equity","OTHER_INS_RES_TO_SHRHLDR_EQY","FQ1 1999","FQ1 1999","Currency=USD","Period=FQ","BEST_FPERIOD_OVERRIDE=FQ","FILING_STATUS=OR","Sort=A","Dates=H","DateFormat=P","Fill=—","Direction=H","UseDPDF=Y")</f>
        <v>-1723</v>
      </c>
      <c r="F45" s="14">
        <f>_xll.BDH("XOM US Equity","OTHER_INS_RES_TO_SHRHLDR_EQY","FQ2 1999","FQ2 1999","Currency=USD","Period=FQ","BEST_FPERIOD_OVERRIDE=FQ","FILING_STATUS=OR","Sort=A","Dates=H","DateFormat=P","Fill=—","Direction=H","UseDPDF=Y")</f>
        <v>-1881</v>
      </c>
      <c r="G45" s="14">
        <f>_xll.BDH("XOM US Equity","OTHER_INS_RES_TO_SHRHLDR_EQY","FQ3 1999","FQ3 1999","Currency=USD","Period=FQ","BEST_FPERIOD_OVERRIDE=FQ","FILING_STATUS=OR","Sort=A","Dates=H","DateFormat=P","Fill=—","Direction=H","UseDPDF=Y")</f>
        <v>-1322</v>
      </c>
      <c r="H45" s="14">
        <f>_xll.BDH("XOM US Equity","OTHER_INS_RES_TO_SHRHLDR_EQY","FQ4 1999","FQ4 1999","Currency=USD","Period=FQ","BEST_FPERIOD_OVERRIDE=FQ","FILING_STATUS=OR","Sort=A","Dates=H","DateFormat=P","Fill=—","Direction=H","UseDPDF=Y")</f>
        <v>-2866</v>
      </c>
      <c r="I45" s="14">
        <f>_xll.BDH("XOM US Equity","OTHER_INS_RES_TO_SHRHLDR_EQY","FQ1 2000","FQ1 2000","Currency=USD","Period=FQ","BEST_FPERIOD_OVERRIDE=FQ","FILING_STATUS=OR","Sort=A","Dates=H","DateFormat=P","Fill=—","Direction=H","UseDPDF=Y")</f>
        <v>-3811</v>
      </c>
      <c r="J45" s="14">
        <f>_xll.BDH("XOM US Equity","OTHER_INS_RES_TO_SHRHLDR_EQY","FQ2 2000","FQ2 2000","Currency=USD","Period=FQ","BEST_FPERIOD_OVERRIDE=FQ","FILING_STATUS=OR","Sort=A","Dates=H","DateFormat=P","Fill=—","Direction=H","UseDPDF=Y")</f>
        <v>-4580</v>
      </c>
      <c r="K45" s="14">
        <f>_xll.BDH("XOM US Equity","OTHER_INS_RES_TO_SHRHLDR_EQY","FQ3 2000","FQ3 2000","Currency=USD","Period=FQ","BEST_FPERIOD_OVERRIDE=FQ","FILING_STATUS=OR","Sort=A","Dates=H","DateFormat=P","Fill=—","Direction=H","UseDPDF=Y")</f>
        <v>-5549</v>
      </c>
      <c r="L45" s="14">
        <f>_xll.BDH("XOM US Equity","OTHER_INS_RES_TO_SHRHLDR_EQY","FQ4 2000","FQ4 2000","Currency=USD","Period=FQ","BEST_FPERIOD_OVERRIDE=FQ","FILING_STATUS=OR","Sort=A","Dates=H","DateFormat=P","Fill=—","Direction=H","UseDPDF=Y")</f>
        <v>-5424</v>
      </c>
      <c r="M45" s="14">
        <f>_xll.BDH("XOM US Equity","OTHER_INS_RES_TO_SHRHLDR_EQY","FQ1 2001","FQ1 2001","Currency=USD","Period=FQ","BEST_FPERIOD_OVERRIDE=FQ","FILING_STATUS=OR","Sort=A","Dates=H","DateFormat=P","Fill=—","Direction=H","UseDPDF=Y")</f>
        <v>-6423</v>
      </c>
      <c r="N45" s="14">
        <f>_xll.BDH("XOM US Equity","OTHER_INS_RES_TO_SHRHLDR_EQY","FQ2 2001","FQ2 2001","Currency=USD","Period=FQ","BEST_FPERIOD_OVERRIDE=FQ","FILING_STATUS=OR","Sort=A","Dates=H","DateFormat=P","Fill=—","Direction=H","UseDPDF=Y")</f>
        <v>-6838</v>
      </c>
      <c r="O45" s="14">
        <f>_xll.BDH("XOM US Equity","OTHER_INS_RES_TO_SHRHLDR_EQY","FQ3 2001","FQ3 2001","Currency=USD","Period=FQ","BEST_FPERIOD_OVERRIDE=FQ","FILING_STATUS=OR","Sort=A","Dates=H","DateFormat=P","Fill=—","Direction=H","UseDPDF=Y")</f>
        <v>-6306</v>
      </c>
      <c r="P45" s="14">
        <f>_xll.BDH("XOM US Equity","OTHER_INS_RES_TO_SHRHLDR_EQY","FQ4 2001","FQ4 2001","Currency=USD","Period=FQ","BEST_FPERIOD_OVERRIDE=FQ","FILING_STATUS=OR","Sort=A","Dates=H","DateFormat=P","Fill=—","Direction=H","UseDPDF=Y")</f>
        <v>-6749</v>
      </c>
      <c r="Q45" s="14">
        <f>_xll.BDH("XOM US Equity","OTHER_INS_RES_TO_SHRHLDR_EQY","FQ1 2002","FQ1 2002","Currency=USD","Period=FQ","BEST_FPERIOD_OVERRIDE=FQ","FILING_STATUS=OR","Sort=A","Dates=H","DateFormat=P","Fill=—","Direction=H","UseDPDF=Y")</f>
        <v>-6807</v>
      </c>
      <c r="R45" s="14">
        <f>_xll.BDH("XOM US Equity","OTHER_INS_RES_TO_SHRHLDR_EQY","FQ2 2002","FQ2 2002","Currency=USD","Period=FQ","BEST_FPERIOD_OVERRIDE=FQ","FILING_STATUS=OR","Sort=A","Dates=H","DateFormat=P","Fill=—","Direction=H","UseDPDF=Y")</f>
        <v>-4093</v>
      </c>
      <c r="S45" s="14">
        <f>_xll.BDH("XOM US Equity","OTHER_INS_RES_TO_SHRHLDR_EQY","FQ3 2002","FQ3 2002","Currency=USD","Period=FQ","BEST_FPERIOD_OVERRIDE=FQ","FILING_STATUS=OR","Sort=A","Dates=H","DateFormat=P","Fill=—","Direction=H","UseDPDF=Y")</f>
        <v>-4587</v>
      </c>
      <c r="T45" s="14">
        <f>_xll.BDH("XOM US Equity","OTHER_INS_RES_TO_SHRHLDR_EQY","FQ4 2002","FQ4 2002","Currency=USD","Period=FQ","BEST_FPERIOD_OVERRIDE=FQ","FILING_STATUS=OR","Sort=A","Dates=H","DateFormat=P","Fill=—","Direction=H","UseDPDF=Y")</f>
        <v>-5811</v>
      </c>
      <c r="U45" s="14">
        <f>_xll.BDH("XOM US Equity","OTHER_INS_RES_TO_SHRHLDR_EQY","FQ1 2003","FQ1 2003","Currency=USD","Period=FQ","BEST_FPERIOD_OVERRIDE=FQ","FILING_STATUS=OR","Sort=A","Dates=H","DateFormat=P","Fill=—","Direction=H","UseDPDF=Y")</f>
        <v>-5934</v>
      </c>
      <c r="V45" s="14">
        <f>_xll.BDH("XOM US Equity","OTHER_INS_RES_TO_SHRHLDR_EQY","FQ2 2003","FQ2 2003","Currency=USD","Period=FQ","BEST_FPERIOD_OVERRIDE=FQ","FILING_STATUS=OR","Sort=A","Dates=H","DateFormat=P","Fill=—","Direction=H","UseDPDF=Y")</f>
        <v>-4366</v>
      </c>
      <c r="W45" s="14">
        <f>_xll.BDH("XOM US Equity","OTHER_INS_RES_TO_SHRHLDR_EQY","FQ3 2003","FQ3 2003","Currency=USD","Period=FQ","BEST_FPERIOD_OVERRIDE=FQ","FILING_STATUS=OR","Sort=A","Dates=H","DateFormat=P","Fill=—","Direction=H","UseDPDF=Y")</f>
        <v>-3603</v>
      </c>
      <c r="X45" s="14">
        <f>_xll.BDH("XOM US Equity","OTHER_INS_RES_TO_SHRHLDR_EQY","FQ4 2003","FQ4 2003","Currency=USD","Period=FQ","BEST_FPERIOD_OVERRIDE=FQ","FILING_STATUS=OR","Sort=A","Dates=H","DateFormat=P","Fill=—","Direction=H","UseDPDF=Y")</f>
        <v>-1148</v>
      </c>
      <c r="Y45" s="14">
        <f>_xll.BDH("XOM US Equity","OTHER_INS_RES_TO_SHRHLDR_EQY","FQ1 2004","FQ1 2004","Currency=USD","Period=FQ","BEST_FPERIOD_OVERRIDE=FQ","FILING_STATUS=OR","Sort=A","Dates=H","DateFormat=P","Fill=—","Direction=H","UseDPDF=Y")</f>
        <v>-1490</v>
      </c>
      <c r="Z45" s="14">
        <f>_xll.BDH("XOM US Equity","OTHER_INS_RES_TO_SHRHLDR_EQY","FQ2 2004","FQ2 2004","Currency=USD","Period=FQ","BEST_FPERIOD_OVERRIDE=FQ","FILING_STATUS=OR","Sort=A","Dates=H","DateFormat=P","Fill=—","Direction=H","UseDPDF=Y")</f>
        <v>-1982</v>
      </c>
      <c r="AA45" s="14">
        <f>_xll.BDH("XOM US Equity","OTHER_INS_RES_TO_SHRHLDR_EQY","FQ3 2004","FQ3 2004","Currency=USD","Period=FQ","BEST_FPERIOD_OVERRIDE=FQ","FILING_STATUS=OR","Sort=A","Dates=H","DateFormat=P","Fill=—","Direction=H","UseDPDF=Y")</f>
        <v>-1296</v>
      </c>
      <c r="AB45" s="14">
        <f>_xll.BDH("XOM US Equity","OTHER_INS_RES_TO_SHRHLDR_EQY","FQ4 2004","FQ4 2004","Currency=USD","Period=FQ","BEST_FPERIOD_OVERRIDE=FQ","FILING_STATUS=OR","Sort=A","Dates=H","DateFormat=P","Fill=—","Direction=H","UseDPDF=Y")</f>
        <v>513</v>
      </c>
      <c r="AC45" s="14">
        <f>_xll.BDH("XOM US Equity","OTHER_INS_RES_TO_SHRHLDR_EQY","FQ1 2005","FQ1 2005","Currency=USD","Period=FQ","BEST_FPERIOD_OVERRIDE=FQ","FILING_STATUS=OR","Sort=A","Dates=H","DateFormat=P","Fill=—","Direction=H","UseDPDF=Y")</f>
        <v>-742</v>
      </c>
      <c r="AD45" s="14">
        <f>_xll.BDH("XOM US Equity","OTHER_INS_RES_TO_SHRHLDR_EQY","FQ2 2005","FQ2 2005","Currency=USD","Period=FQ","BEST_FPERIOD_OVERRIDE=FQ","FILING_STATUS=OR","Sort=A","Dates=H","DateFormat=P","Fill=—","Direction=H","UseDPDF=Y")</f>
        <v>-2054</v>
      </c>
      <c r="AE45" s="14">
        <f>_xll.BDH("XOM US Equity","OTHER_INS_RES_TO_SHRHLDR_EQY","FQ3 2005","FQ3 2005","Currency=USD","Period=FQ","BEST_FPERIOD_OVERRIDE=FQ","FILING_STATUS=OR","Sort=A","Dates=H","DateFormat=P","Fill=—","Direction=H","UseDPDF=Y")</f>
        <v>-1628</v>
      </c>
      <c r="AF45" s="14">
        <f>_xll.BDH("XOM US Equity","OTHER_INS_RES_TO_SHRHLDR_EQY","FQ4 2005","FQ4 2005","Currency=USD","Period=FQ","BEST_FPERIOD_OVERRIDE=FQ","FILING_STATUS=OR","Sort=A","Dates=H","DateFormat=P","Fill=—","Direction=H","UseDPDF=Y")</f>
        <v>-2545</v>
      </c>
      <c r="AG45" s="14">
        <f>_xll.BDH("XOM US Equity","OTHER_INS_RES_TO_SHRHLDR_EQY","FQ1 2006","FQ1 2006","Currency=USD","Period=FQ","BEST_FPERIOD_OVERRIDE=FQ","FILING_STATUS=OR","Sort=A","Dates=H","DateFormat=P","Fill=—","Direction=H","UseDPDF=Y")</f>
        <v>-882</v>
      </c>
      <c r="AH45" s="14">
        <f>_xll.BDH("XOM US Equity","OTHER_INS_RES_TO_SHRHLDR_EQY","FQ2 2006","FQ2 2006","Currency=USD","Period=FQ","BEST_FPERIOD_OVERRIDE=FQ","FILING_STATUS=OR","Sort=A","Dates=H","DateFormat=P","Fill=—","Direction=H","UseDPDF=Y")</f>
        <v>513</v>
      </c>
      <c r="AI45" s="14">
        <f>_xll.BDH("XOM US Equity","OTHER_INS_RES_TO_SHRHLDR_EQY","FQ3 2006","FQ3 2006","Currency=USD","Period=FQ","BEST_FPERIOD_OVERRIDE=FQ","FILING_STATUS=OR","Sort=A","Dates=H","DateFormat=P","Fill=—","Direction=H","UseDPDF=Y")</f>
        <v>548</v>
      </c>
      <c r="AJ45" s="14">
        <f>_xll.BDH("XOM US Equity","OTHER_INS_RES_TO_SHRHLDR_EQY","FQ4 2006","FQ4 2006","Currency=USD","Period=FQ","BEST_FPERIOD_OVERRIDE=FQ","FILING_STATUS=OR","Sort=A","Dates=H","DateFormat=P","Fill=—","Direction=H","UseDPDF=Y")</f>
        <v>-2762</v>
      </c>
      <c r="AK45" s="14">
        <f>_xll.BDH("XOM US Equity","OTHER_INS_RES_TO_SHRHLDR_EQY","FQ1 2007","FQ1 2007","Currency=USD","Period=FQ","BEST_FPERIOD_OVERRIDE=FQ","FILING_STATUS=OR","Sort=A","Dates=H","DateFormat=P","Fill=—","Direction=H","UseDPDF=Y")</f>
        <v>-2546</v>
      </c>
      <c r="AL45" s="14">
        <f>_xll.BDH("XOM US Equity","OTHER_INS_RES_TO_SHRHLDR_EQY","FQ2 2007","FQ2 2007","Currency=USD","Period=FQ","BEST_FPERIOD_OVERRIDE=FQ","FILING_STATUS=OR","Sort=A","Dates=H","DateFormat=P","Fill=—","Direction=H","UseDPDF=Y")</f>
        <v>-1274</v>
      </c>
      <c r="AM45" s="14">
        <f>_xll.BDH("XOM US Equity","OTHER_INS_RES_TO_SHRHLDR_EQY","FQ3 2007","FQ3 2007","Currency=USD","Period=FQ","BEST_FPERIOD_OVERRIDE=FQ","FILING_STATUS=OR","Sort=A","Dates=H","DateFormat=P","Fill=—","Direction=H","UseDPDF=Y")</f>
        <v>849</v>
      </c>
      <c r="AN45" s="14">
        <f>_xll.BDH("XOM US Equity","OTHER_INS_RES_TO_SHRHLDR_EQY","FQ4 2007","FQ4 2007","Currency=USD","Period=FQ","BEST_FPERIOD_OVERRIDE=FQ","FILING_STATUS=OR","Sort=A","Dates=H","DateFormat=P","Fill=—","Direction=H","UseDPDF=Y")</f>
        <v>1989</v>
      </c>
      <c r="AO45" s="14">
        <f>_xll.BDH("XOM US Equity","OTHER_INS_RES_TO_SHRHLDR_EQY","FQ1 2008","FQ1 2008","Currency=USD","Period=FQ","BEST_FPERIOD_OVERRIDE=FQ","FILING_STATUS=OR","Sort=A","Dates=H","DateFormat=P","Fill=—","Direction=H","UseDPDF=Y")</f>
        <v>3504</v>
      </c>
      <c r="AP45" s="14">
        <f>_xll.BDH("XOM US Equity","OTHER_INS_RES_TO_SHRHLDR_EQY","FQ2 2008","FQ2 2008","Currency=USD","Period=FQ","BEST_FPERIOD_OVERRIDE=FQ","FILING_STATUS=OR","Sort=A","Dates=H","DateFormat=P","Fill=—","Direction=H","UseDPDF=Y")</f>
        <v>3847</v>
      </c>
    </row>
    <row r="46" spans="1:42" x14ac:dyDescent="0.25">
      <c r="A46" s="6" t="s">
        <v>251</v>
      </c>
      <c r="B46" s="6" t="s">
        <v>252</v>
      </c>
      <c r="C46" s="16">
        <f>_xll.BDH("XOM US Equity","EQTY_BEF_MINORITY_INT_DETAILED","FQ3 1998","FQ3 1998","Currency=USD","Period=FQ","BEST_FPERIOD_OVERRIDE=FQ","FILING_STATUS=OR","SCALING_FORMAT=MLN","Sort=A","Dates=H","DateFormat=P","Fill=—","Direction=H","UseDPDF=Y")</f>
        <v>43884</v>
      </c>
      <c r="D46" s="16">
        <f>_xll.BDH("XOM US Equity","EQTY_BEF_MINORITY_INT_DETAILED","FQ4 1998","FQ4 1998","Currency=USD","Period=FQ","BEST_FPERIOD_OVERRIDE=FQ","FILING_STATUS=OR","SCALING_FORMAT=MLN","Sort=A","Dates=H","DateFormat=P","Fill=—","Direction=H","UseDPDF=Y")</f>
        <v>43750</v>
      </c>
      <c r="E46" s="16">
        <f>_xll.BDH("XOM US Equity","EQTY_BEF_MINORITY_INT_DETAILED","FQ1 1999","FQ1 1999","Currency=USD","Period=FQ","BEST_FPERIOD_OVERRIDE=FQ","FILING_STATUS=OR","SCALING_FORMAT=MLN","Sort=A","Dates=H","DateFormat=P","Fill=—","Direction=H","UseDPDF=Y")</f>
        <v>43002</v>
      </c>
      <c r="F46" s="16">
        <f>_xll.BDH("XOM US Equity","EQTY_BEF_MINORITY_INT_DETAILED","FQ2 1999","FQ2 1999","Currency=USD","Period=FQ","BEST_FPERIOD_OVERRIDE=FQ","FILING_STATUS=OR","SCALING_FORMAT=MLN","Sort=A","Dates=H","DateFormat=P","Fill=—","Direction=H","UseDPDF=Y")</f>
        <v>42829</v>
      </c>
      <c r="G46" s="16">
        <f>_xll.BDH("XOM US Equity","EQTY_BEF_MINORITY_INT_DETAILED","FQ3 1999","FQ3 1999","Currency=USD","Period=FQ","BEST_FPERIOD_OVERRIDE=FQ","FILING_STATUS=OR","SCALING_FORMAT=MLN","Sort=A","Dates=H","DateFormat=P","Fill=—","Direction=H","UseDPDF=Y")</f>
        <v>43834</v>
      </c>
      <c r="H46" s="16">
        <f>_xll.BDH("XOM US Equity","EQTY_BEF_MINORITY_INT_DETAILED","FQ4 1999","FQ4 1999","Currency=USD","Period=FQ","BEST_FPERIOD_OVERRIDE=FQ","FILING_STATUS=OR","SCALING_FORMAT=MLN","Sort=A","Dates=H","DateFormat=P","Fill=—","Direction=H","UseDPDF=Y")</f>
        <v>63466</v>
      </c>
      <c r="I46" s="16">
        <f>_xll.BDH("XOM US Equity","EQTY_BEF_MINORITY_INT_DETAILED","FQ1 2000","FQ1 2000","Currency=USD","Period=FQ","BEST_FPERIOD_OVERRIDE=FQ","FILING_STATUS=OR","SCALING_FORMAT=MLN","Sort=A","Dates=H","DateFormat=P","Fill=—","Direction=H","UseDPDF=Y")</f>
        <v>64605</v>
      </c>
      <c r="J46" s="16">
        <f>_xll.BDH("XOM US Equity","EQTY_BEF_MINORITY_INT_DETAILED","FQ2 2000","FQ2 2000","Currency=USD","Period=FQ","BEST_FPERIOD_OVERRIDE=FQ","FILING_STATUS=OR","SCALING_FORMAT=MLN","Sort=A","Dates=H","DateFormat=P","Fill=—","Direction=H","UseDPDF=Y")</f>
        <v>66936</v>
      </c>
      <c r="K46" s="16">
        <f>_xll.BDH("XOM US Equity","EQTY_BEF_MINORITY_INT_DETAILED","FQ3 2000","FQ3 2000","Currency=USD","Period=FQ","BEST_FPERIOD_OVERRIDE=FQ","FILING_STATUS=OR","SCALING_FORMAT=MLN","Sort=A","Dates=H","DateFormat=P","Fill=—","Direction=H","UseDPDF=Y")</f>
        <v>68111</v>
      </c>
      <c r="L46" s="16">
        <f>_xll.BDH("XOM US Equity","EQTY_BEF_MINORITY_INT_DETAILED","FQ4 2000","FQ4 2000","Currency=USD","Period=FQ","BEST_FPERIOD_OVERRIDE=FQ","FILING_STATUS=OR","SCALING_FORMAT=MLN","Sort=A","Dates=H","DateFormat=P","Fill=—","Direction=H","UseDPDF=Y")</f>
        <v>70757</v>
      </c>
      <c r="M46" s="16">
        <f>_xll.BDH("XOM US Equity","EQTY_BEF_MINORITY_INT_DETAILED","FQ1 2001","FQ1 2001","Currency=USD","Period=FQ","BEST_FPERIOD_OVERRIDE=FQ","FILING_STATUS=OR","SCALING_FORMAT=MLN","Sort=A","Dates=H","DateFormat=P","Fill=—","Direction=H","UseDPDF=Y")</f>
        <v>71889</v>
      </c>
      <c r="N46" s="16">
        <f>_xll.BDH("XOM US Equity","EQTY_BEF_MINORITY_INT_DETAILED","FQ2 2001","FQ2 2001","Currency=USD","Period=FQ","BEST_FPERIOD_OVERRIDE=FQ","FILING_STATUS=OR","SCALING_FORMAT=MLN","Sort=A","Dates=H","DateFormat=P","Fill=—","Direction=H","UseDPDF=Y")</f>
        <v>72974</v>
      </c>
      <c r="O46" s="16">
        <f>_xll.BDH("XOM US Equity","EQTY_BEF_MINORITY_INT_DETAILED","FQ3 2001","FQ3 2001","Currency=USD","Period=FQ","BEST_FPERIOD_OVERRIDE=FQ","FILING_STATUS=OR","SCALING_FORMAT=MLN","Sort=A","Dates=H","DateFormat=P","Fill=—","Direction=H","UseDPDF=Y")</f>
        <v>73825</v>
      </c>
      <c r="P46" s="16">
        <f>_xll.BDH("XOM US Equity","EQTY_BEF_MINORITY_INT_DETAILED","FQ4 2001","FQ4 2001","Currency=USD","Period=FQ","BEST_FPERIOD_OVERRIDE=FQ","FILING_STATUS=OR","SCALING_FORMAT=MLN","Sort=A","Dates=H","DateFormat=P","Fill=—","Direction=H","UseDPDF=Y")</f>
        <v>73161</v>
      </c>
      <c r="Q46" s="16">
        <f>_xll.BDH("XOM US Equity","EQTY_BEF_MINORITY_INT_DETAILED","FQ1 2002","FQ1 2002","Currency=USD","Period=FQ","BEST_FPERIOD_OVERRIDE=FQ","FILING_STATUS=OR","SCALING_FORMAT=MLN","Sort=A","Dates=H","DateFormat=P","Fill=—","Direction=H","UseDPDF=Y")</f>
        <v>72367</v>
      </c>
      <c r="R46" s="16">
        <f>_xll.BDH("XOM US Equity","EQTY_BEF_MINORITY_INT_DETAILED","FQ2 2002","FQ2 2002","Currency=USD","Period=FQ","BEST_FPERIOD_OVERRIDE=FQ","FILING_STATUS=OR","SCALING_FORMAT=MLN","Sort=A","Dates=H","DateFormat=P","Fill=—","Direction=H","UseDPDF=Y")</f>
        <v>75118</v>
      </c>
      <c r="S46" s="16">
        <f>_xll.BDH("XOM US Equity","EQTY_BEF_MINORITY_INT_DETAILED","FQ3 2002","FQ3 2002","Currency=USD","Period=FQ","BEST_FPERIOD_OVERRIDE=FQ","FILING_STATUS=OR","SCALING_FORMAT=MLN","Sort=A","Dates=H","DateFormat=P","Fill=—","Direction=H","UseDPDF=Y")</f>
        <v>74690</v>
      </c>
      <c r="T46" s="16">
        <f>_xll.BDH("XOM US Equity","EQTY_BEF_MINORITY_INT_DETAILED","FQ4 2002","FQ4 2002","Currency=USD","Period=FQ","BEST_FPERIOD_OVERRIDE=FQ","FILING_STATUS=OR","SCALING_FORMAT=MLN","Sort=A","Dates=H","DateFormat=P","Fill=—","Direction=H","UseDPDF=Y")</f>
        <v>74597</v>
      </c>
      <c r="U46" s="16">
        <f>_xll.BDH("XOM US Equity","EQTY_BEF_MINORITY_INT_DETAILED","FQ1 2003","FQ1 2003","Currency=USD","Period=FQ","BEST_FPERIOD_OVERRIDE=FQ","FILING_STATUS=OR","SCALING_FORMAT=MLN","Sort=A","Dates=H","DateFormat=P","Fill=—","Direction=H","UseDPDF=Y")</f>
        <v>79585</v>
      </c>
      <c r="V46" s="16">
        <f>_xll.BDH("XOM US Equity","EQTY_BEF_MINORITY_INT_DETAILED","FQ2 2003","FQ2 2003","Currency=USD","Period=FQ","BEST_FPERIOD_OVERRIDE=FQ","FILING_STATUS=OR","SCALING_FORMAT=MLN","Sort=A","Dates=H","DateFormat=P","Fill=—","Direction=H","UseDPDF=Y")</f>
        <v>82581</v>
      </c>
      <c r="W46" s="16">
        <f>_xll.BDH("XOM US Equity","EQTY_BEF_MINORITY_INT_DETAILED","FQ3 2003","FQ3 2003","Currency=USD","Period=FQ","BEST_FPERIOD_OVERRIDE=FQ","FILING_STATUS=OR","SCALING_FORMAT=MLN","Sort=A","Dates=H","DateFormat=P","Fill=—","Direction=H","UseDPDF=Y")</f>
        <v>83764</v>
      </c>
      <c r="X46" s="16">
        <f>_xll.BDH("XOM US Equity","EQTY_BEF_MINORITY_INT_DETAILED","FQ4 2003","FQ4 2003","Currency=USD","Period=FQ","BEST_FPERIOD_OVERRIDE=FQ","FILING_STATUS=OR","SCALING_FORMAT=MLN","Sort=A","Dates=H","DateFormat=P","Fill=—","Direction=H","UseDPDF=Y")</f>
        <v>89915</v>
      </c>
      <c r="Y46" s="16">
        <f>_xll.BDH("XOM US Equity","EQTY_BEF_MINORITY_INT_DETAILED","FQ1 2004","FQ1 2004","Currency=USD","Period=FQ","BEST_FPERIOD_OVERRIDE=FQ","FILING_STATUS=OR","SCALING_FORMAT=MLN","Sort=A","Dates=H","DateFormat=P","Fill=—","Direction=H","UseDPDF=Y")</f>
        <v>91681</v>
      </c>
      <c r="Z46" s="16">
        <f>_xll.BDH("XOM US Equity","EQTY_BEF_MINORITY_INT_DETAILED","FQ2 2004","FQ2 2004","Currency=USD","Period=FQ","BEST_FPERIOD_OVERRIDE=FQ","FILING_STATUS=OR","SCALING_FORMAT=MLN","Sort=A","Dates=H","DateFormat=P","Fill=—","Direction=H","UseDPDF=Y")</f>
        <v>93535</v>
      </c>
      <c r="AA46" s="16">
        <f>_xll.BDH("XOM US Equity","EQTY_BEF_MINORITY_INT_DETAILED","FQ3 2004","FQ3 2004","Currency=USD","Period=FQ","BEST_FPERIOD_OVERRIDE=FQ","FILING_STATUS=OR","SCALING_FORMAT=MLN","Sort=A","Dates=H","DateFormat=P","Fill=—","Direction=H","UseDPDF=Y")</f>
        <v>95442</v>
      </c>
      <c r="AB46" s="16">
        <f>_xll.BDH("XOM US Equity","EQTY_BEF_MINORITY_INT_DETAILED","FQ4 2004","FQ4 2004","Currency=USD","Period=FQ","BEST_FPERIOD_OVERRIDE=FQ","FILING_STATUS=OR","SCALING_FORMAT=MLN","Sort=A","Dates=H","DateFormat=P","Fill=—","Direction=H","UseDPDF=Y")</f>
        <v>101756</v>
      </c>
      <c r="AC46" s="16">
        <f>_xll.BDH("XOM US Equity","EQTY_BEF_MINORITY_INT_DETAILED","FQ1 2005","FQ1 2005","Currency=USD","Period=FQ","BEST_FPERIOD_OVERRIDE=FQ","FILING_STATUS=OR","SCALING_FORMAT=MLN","Sort=A","Dates=H","DateFormat=P","Fill=—","Direction=H","UseDPDF=Y")</f>
        <v>103698</v>
      </c>
      <c r="AD46" s="16">
        <f>_xll.BDH("XOM US Equity","EQTY_BEF_MINORITY_INT_DETAILED","FQ2 2005","FQ2 2005","Currency=USD","Period=FQ","BEST_FPERIOD_OVERRIDE=FQ","FILING_STATUS=OR","SCALING_FORMAT=MLN","Sort=A","Dates=H","DateFormat=P","Fill=—","Direction=H","UseDPDF=Y")</f>
        <v>104596</v>
      </c>
      <c r="AE46" s="16">
        <f>_xll.BDH("XOM US Equity","EQTY_BEF_MINORITY_INT_DETAILED","FQ3 2005","FQ3 2005","Currency=USD","Period=FQ","BEST_FPERIOD_OVERRIDE=FQ","FILING_STATUS=OR","SCALING_FORMAT=MLN","Sort=A","Dates=H","DateFormat=P","Fill=—","Direction=H","UseDPDF=Y")</f>
        <v>107890</v>
      </c>
      <c r="AF46" s="16">
        <f>_xll.BDH("XOM US Equity","EQTY_BEF_MINORITY_INT_DETAILED","FQ4 2005","FQ4 2005","Currency=USD","Period=FQ","BEST_FPERIOD_OVERRIDE=FQ","FILING_STATUS=OR","SCALING_FORMAT=MLN","Sort=A","Dates=H","DateFormat=P","Fill=—","Direction=H","UseDPDF=Y")</f>
        <v>111186</v>
      </c>
      <c r="AG46" s="16">
        <f>_xll.BDH("XOM US Equity","EQTY_BEF_MINORITY_INT_DETAILED","FQ1 2006","FQ1 2006","Currency=USD","Period=FQ","BEST_FPERIOD_OVERRIDE=FQ","FILING_STATUS=OR","SCALING_FORMAT=MLN","Sort=A","Dates=H","DateFormat=P","Fill=—","Direction=H","UseDPDF=Y")</f>
        <v>112463</v>
      </c>
      <c r="AH46" s="16">
        <f>_xll.BDH("XOM US Equity","EQTY_BEF_MINORITY_INT_DETAILED","FQ2 2006","FQ2 2006","Currency=USD","Period=FQ","BEST_FPERIOD_OVERRIDE=FQ","FILING_STATUS=OR","SCALING_FORMAT=MLN","Sort=A","Dates=H","DateFormat=P","Fill=—","Direction=H","UseDPDF=Y")</f>
        <v>115764</v>
      </c>
      <c r="AI46" s="16">
        <f>_xll.BDH("XOM US Equity","EQTY_BEF_MINORITY_INT_DETAILED","FQ3 2006","FQ3 2006","Currency=USD","Period=FQ","BEST_FPERIOD_OVERRIDE=FQ","FILING_STATUS=OR","SCALING_FORMAT=MLN","Sort=A","Dates=H","DateFormat=P","Fill=—","Direction=H","UseDPDF=Y")</f>
        <v>116593</v>
      </c>
      <c r="AJ46" s="16">
        <f>_xll.BDH("XOM US Equity","EQTY_BEF_MINORITY_INT_DETAILED","FQ4 2006","FQ4 2006","Currency=USD","Period=FQ","BEST_FPERIOD_OVERRIDE=FQ","FILING_STATUS=OR","SCALING_FORMAT=MLN","Sort=A","Dates=H","DateFormat=P","Fill=—","Direction=H","UseDPDF=Y")</f>
        <v>113844</v>
      </c>
      <c r="AK46" s="16">
        <f>_xll.BDH("XOM US Equity","EQTY_BEF_MINORITY_INT_DETAILED","FQ1 2007","FQ1 2007","Currency=USD","Period=FQ","BEST_FPERIOD_OVERRIDE=FQ","FILING_STATUS=OR","SCALING_FORMAT=MLN","Sort=A","Dates=H","DateFormat=P","Fill=—","Direction=H","UseDPDF=Y")</f>
        <v>114110</v>
      </c>
      <c r="AL46" s="16">
        <f>_xll.BDH("XOM US Equity","EQTY_BEF_MINORITY_INT_DETAILED","FQ2 2007","FQ2 2007","Currency=USD","Period=FQ","BEST_FPERIOD_OVERRIDE=FQ","FILING_STATUS=OR","SCALING_FORMAT=MLN","Sort=A","Dates=H","DateFormat=P","Fill=—","Direction=H","UseDPDF=Y")</f>
        <v>116350</v>
      </c>
      <c r="AM46" s="16">
        <f>_xll.BDH("XOM US Equity","EQTY_BEF_MINORITY_INT_DETAILED","FQ3 2007","FQ3 2007","Currency=USD","Period=FQ","BEST_FPERIOD_OVERRIDE=FQ","FILING_STATUS=OR","SCALING_FORMAT=MLN","Sort=A","Dates=H","DateFormat=P","Fill=—","Direction=H","UseDPDF=Y")</f>
        <v>118603</v>
      </c>
      <c r="AN46" s="16">
        <f>_xll.BDH("XOM US Equity","EQTY_BEF_MINORITY_INT_DETAILED","FQ4 2007","FQ4 2007","Currency=USD","Period=FQ","BEST_FPERIOD_OVERRIDE=FQ","FILING_STATUS=OR","SCALING_FORMAT=MLN","Sort=A","Dates=H","DateFormat=P","Fill=—","Direction=H","UseDPDF=Y")</f>
        <v>121762</v>
      </c>
      <c r="AO46" s="16">
        <f>_xll.BDH("XOM US Equity","EQTY_BEF_MINORITY_INT_DETAILED","FQ1 2008","FQ1 2008","Currency=USD","Period=FQ","BEST_FPERIOD_OVERRIDE=FQ","FILING_STATUS=OR","SCALING_FORMAT=MLN","Sort=A","Dates=H","DateFormat=P","Fill=—","Direction=H","UseDPDF=Y")</f>
        <v>123139</v>
      </c>
      <c r="AP46" s="16">
        <f>_xll.BDH("XOM US Equity","EQTY_BEF_MINORITY_INT_DETAILED","FQ2 2008","FQ2 2008","Currency=USD","Period=FQ","BEST_FPERIOD_OVERRIDE=FQ","FILING_STATUS=OR","SCALING_FORMAT=MLN","Sort=A","Dates=H","DateFormat=P","Fill=—","Direction=H","UseDPDF=Y")</f>
        <v>124826</v>
      </c>
    </row>
    <row r="47" spans="1:42" x14ac:dyDescent="0.25">
      <c r="A47" s="10" t="s">
        <v>253</v>
      </c>
      <c r="B47" s="10" t="s">
        <v>254</v>
      </c>
      <c r="C47" s="13" t="str">
        <f>_xll.BDH("XOM US Equity","MINORITY_NONCONTROLLING_INTEREST","FQ3 1998","FQ3 1998","Currency=USD","Period=FQ","BEST_FPERIOD_OVERRIDE=FQ","FILING_STATUS=OR","SCALING_FORMAT=MLN","Sort=A","Dates=H","DateFormat=P","Fill=—","Direction=H","UseDPDF=Y")</f>
        <v>—</v>
      </c>
      <c r="D47" s="13">
        <f>_xll.BDH("XOM US Equity","MINORITY_NONCONTROLLING_INTEREST","FQ4 1998","FQ4 1998","Currency=USD","Period=FQ","BEST_FPERIOD_OVERRIDE=FQ","FILING_STATUS=OR","SCALING_FORMAT=MLN","Sort=A","Dates=H","DateFormat=P","Fill=—","Direction=H","UseDPDF=Y")</f>
        <v>1807</v>
      </c>
      <c r="E47" s="13" t="str">
        <f>_xll.BDH("XOM US Equity","MINORITY_NONCONTROLLING_INTEREST","FQ1 1999","FQ1 1999","Currency=USD","Period=FQ","BEST_FPERIOD_OVERRIDE=FQ","FILING_STATUS=OR","SCALING_FORMAT=MLN","Sort=A","Dates=H","DateFormat=P","Fill=—","Direction=H","UseDPDF=Y")</f>
        <v>—</v>
      </c>
      <c r="F47" s="13">
        <f>_xll.BDH("XOM US Equity","MINORITY_NONCONTROLLING_INTEREST","FQ2 1999","FQ2 1999","Currency=USD","Period=FQ","BEST_FPERIOD_OVERRIDE=FQ","FILING_STATUS=OR","SCALING_FORMAT=MLN","Sort=A","Dates=H","DateFormat=P","Fill=—","Direction=H","UseDPDF=Y")</f>
        <v>0</v>
      </c>
      <c r="G47" s="13">
        <f>_xll.BDH("XOM US Equity","MINORITY_NONCONTROLLING_INTEREST","FQ3 1999","FQ3 1999","Currency=USD","Period=FQ","BEST_FPERIOD_OVERRIDE=FQ","FILING_STATUS=OR","SCALING_FORMAT=MLN","Sort=A","Dates=H","DateFormat=P","Fill=—","Direction=H","UseDPDF=Y")</f>
        <v>0</v>
      </c>
      <c r="H47" s="13">
        <f>_xll.BDH("XOM US Equity","MINORITY_NONCONTROLLING_INTEREST","FQ4 1999","FQ4 1999","Currency=USD","Period=FQ","BEST_FPERIOD_OVERRIDE=FQ","FILING_STATUS=OR","SCALING_FORMAT=MLN","Sort=A","Dates=H","DateFormat=P","Fill=—","Direction=H","UseDPDF=Y")</f>
        <v>3688</v>
      </c>
      <c r="I47" s="13" t="str">
        <f>_xll.BDH("XOM US Equity","MINORITY_NONCONTROLLING_INTEREST","FQ1 2000","FQ1 2000","Currency=USD","Period=FQ","BEST_FPERIOD_OVERRIDE=FQ","FILING_STATUS=OR","SCALING_FORMAT=MLN","Sort=A","Dates=H","DateFormat=P","Fill=—","Direction=H","UseDPDF=Y")</f>
        <v>—</v>
      </c>
      <c r="J47" s="13">
        <f>_xll.BDH("XOM US Equity","MINORITY_NONCONTROLLING_INTEREST","FQ2 2000","FQ2 2000","Currency=USD","Period=FQ","BEST_FPERIOD_OVERRIDE=FQ","FILING_STATUS=OR","SCALING_FORMAT=MLN","Sort=A","Dates=H","DateFormat=P","Fill=—","Direction=H","UseDPDF=Y")</f>
        <v>0</v>
      </c>
      <c r="K47" s="13">
        <f>_xll.BDH("XOM US Equity","MINORITY_NONCONTROLLING_INTEREST","FQ3 2000","FQ3 2000","Currency=USD","Period=FQ","BEST_FPERIOD_OVERRIDE=FQ","FILING_STATUS=OR","SCALING_FORMAT=MLN","Sort=A","Dates=H","DateFormat=P","Fill=—","Direction=H","UseDPDF=Y")</f>
        <v>0</v>
      </c>
      <c r="L47" s="13">
        <f>_xll.BDH("XOM US Equity","MINORITY_NONCONTROLLING_INTEREST","FQ4 2000","FQ4 2000","Currency=USD","Period=FQ","BEST_FPERIOD_OVERRIDE=FQ","FILING_STATUS=OR","SCALING_FORMAT=MLN","Sort=A","Dates=H","DateFormat=P","Fill=—","Direction=H","UseDPDF=Y")</f>
        <v>3230</v>
      </c>
      <c r="M47" s="13" t="str">
        <f>_xll.BDH("XOM US Equity","MINORITY_NONCONTROLLING_INTEREST","FQ1 2001","FQ1 2001","Currency=USD","Period=FQ","BEST_FPERIOD_OVERRIDE=FQ","FILING_STATUS=OR","SCALING_FORMAT=MLN","Sort=A","Dates=H","DateFormat=P","Fill=—","Direction=H","UseDPDF=Y")</f>
        <v>—</v>
      </c>
      <c r="N47" s="13">
        <f>_xll.BDH("XOM US Equity","MINORITY_NONCONTROLLING_INTEREST","FQ2 2001","FQ2 2001","Currency=USD","Period=FQ","BEST_FPERIOD_OVERRIDE=FQ","FILING_STATUS=OR","SCALING_FORMAT=MLN","Sort=A","Dates=H","DateFormat=P","Fill=—","Direction=H","UseDPDF=Y")</f>
        <v>0</v>
      </c>
      <c r="O47" s="13">
        <f>_xll.BDH("XOM US Equity","MINORITY_NONCONTROLLING_INTEREST","FQ3 2001","FQ3 2001","Currency=USD","Period=FQ","BEST_FPERIOD_OVERRIDE=FQ","FILING_STATUS=OR","SCALING_FORMAT=MLN","Sort=A","Dates=H","DateFormat=P","Fill=—","Direction=H","UseDPDF=Y")</f>
        <v>0</v>
      </c>
      <c r="P47" s="13">
        <f>_xll.BDH("XOM US Equity","MINORITY_NONCONTROLLING_INTEREST","FQ4 2001","FQ4 2001","Currency=USD","Period=FQ","BEST_FPERIOD_OVERRIDE=FQ","FILING_STATUS=OR","SCALING_FORMAT=MLN","Sort=A","Dates=H","DateFormat=P","Fill=—","Direction=H","UseDPDF=Y")</f>
        <v>2825</v>
      </c>
      <c r="Q47" s="13">
        <f>_xll.BDH("XOM US Equity","MINORITY_NONCONTROLLING_INTEREST","FQ1 2002","FQ1 2002","Currency=USD","Period=FQ","BEST_FPERIOD_OVERRIDE=FQ","FILING_STATUS=OR","SCALING_FORMAT=MLN","Sort=A","Dates=H","DateFormat=P","Fill=—","Direction=H","UseDPDF=Y")</f>
        <v>0</v>
      </c>
      <c r="R47" s="13">
        <f>_xll.BDH("XOM US Equity","MINORITY_NONCONTROLLING_INTEREST","FQ2 2002","FQ2 2002","Currency=USD","Period=FQ","BEST_FPERIOD_OVERRIDE=FQ","FILING_STATUS=OR","SCALING_FORMAT=MLN","Sort=A","Dates=H","DateFormat=P","Fill=—","Direction=H","UseDPDF=Y")</f>
        <v>0</v>
      </c>
      <c r="S47" s="13">
        <f>_xll.BDH("XOM US Equity","MINORITY_NONCONTROLLING_INTEREST","FQ3 2002","FQ3 2002","Currency=USD","Period=FQ","BEST_FPERIOD_OVERRIDE=FQ","FILING_STATUS=OR","SCALING_FORMAT=MLN","Sort=A","Dates=H","DateFormat=P","Fill=—","Direction=H","UseDPDF=Y")</f>
        <v>0</v>
      </c>
      <c r="T47" s="13">
        <f>_xll.BDH("XOM US Equity","MINORITY_NONCONTROLLING_INTEREST","FQ4 2002","FQ4 2002","Currency=USD","Period=FQ","BEST_FPERIOD_OVERRIDE=FQ","FILING_STATUS=OR","SCALING_FORMAT=MLN","Sort=A","Dates=H","DateFormat=P","Fill=—","Direction=H","UseDPDF=Y")</f>
        <v>2768</v>
      </c>
      <c r="U47" s="13">
        <f>_xll.BDH("XOM US Equity","MINORITY_NONCONTROLLING_INTEREST","FQ1 2003","FQ1 2003","Currency=USD","Period=FQ","BEST_FPERIOD_OVERRIDE=FQ","FILING_STATUS=OR","SCALING_FORMAT=MLN","Sort=A","Dates=H","DateFormat=P","Fill=—","Direction=H","UseDPDF=Y")</f>
        <v>0</v>
      </c>
      <c r="V47" s="13">
        <f>_xll.BDH("XOM US Equity","MINORITY_NONCONTROLLING_INTEREST","FQ2 2003","FQ2 2003","Currency=USD","Period=FQ","BEST_FPERIOD_OVERRIDE=FQ","FILING_STATUS=OR","SCALING_FORMAT=MLN","Sort=A","Dates=H","DateFormat=P","Fill=—","Direction=H","UseDPDF=Y")</f>
        <v>0</v>
      </c>
      <c r="W47" s="13">
        <f>_xll.BDH("XOM US Equity","MINORITY_NONCONTROLLING_INTEREST","FQ3 2003","FQ3 2003","Currency=USD","Period=FQ","BEST_FPERIOD_OVERRIDE=FQ","FILING_STATUS=OR","SCALING_FORMAT=MLN","Sort=A","Dates=H","DateFormat=P","Fill=—","Direction=H","UseDPDF=Y")</f>
        <v>0</v>
      </c>
      <c r="X47" s="13">
        <f>_xll.BDH("XOM US Equity","MINORITY_NONCONTROLLING_INTEREST","FQ4 2003","FQ4 2003","Currency=USD","Period=FQ","BEST_FPERIOD_OVERRIDE=FQ","FILING_STATUS=OR","SCALING_FORMAT=MLN","Sort=A","Dates=H","DateFormat=P","Fill=—","Direction=H","UseDPDF=Y")</f>
        <v>3382</v>
      </c>
      <c r="Y47" s="13">
        <f>_xll.BDH("XOM US Equity","MINORITY_NONCONTROLLING_INTEREST","FQ1 2004","FQ1 2004","Currency=USD","Period=FQ","BEST_FPERIOD_OVERRIDE=FQ","FILING_STATUS=OR","SCALING_FORMAT=MLN","Sort=A","Dates=H","DateFormat=P","Fill=—","Direction=H","UseDPDF=Y")</f>
        <v>0</v>
      </c>
      <c r="Z47" s="13">
        <f>_xll.BDH("XOM US Equity","MINORITY_NONCONTROLLING_INTEREST","FQ2 2004","FQ2 2004","Currency=USD","Period=FQ","BEST_FPERIOD_OVERRIDE=FQ","FILING_STATUS=OR","SCALING_FORMAT=MLN","Sort=A","Dates=H","DateFormat=P","Fill=—","Direction=H","UseDPDF=Y")</f>
        <v>0</v>
      </c>
      <c r="AA47" s="13">
        <f>_xll.BDH("XOM US Equity","MINORITY_NONCONTROLLING_INTEREST","FQ3 2004","FQ3 2004","Currency=USD","Period=FQ","BEST_FPERIOD_OVERRIDE=FQ","FILING_STATUS=OR","SCALING_FORMAT=MLN","Sort=A","Dates=H","DateFormat=P","Fill=—","Direction=H","UseDPDF=Y")</f>
        <v>0</v>
      </c>
      <c r="AB47" s="13">
        <f>_xll.BDH("XOM US Equity","MINORITY_NONCONTROLLING_INTEREST","FQ4 2004","FQ4 2004","Currency=USD","Period=FQ","BEST_FPERIOD_OVERRIDE=FQ","FILING_STATUS=OR","SCALING_FORMAT=MLN","Sort=A","Dates=H","DateFormat=P","Fill=—","Direction=H","UseDPDF=Y")</f>
        <v>3952</v>
      </c>
      <c r="AC47" s="13">
        <f>_xll.BDH("XOM US Equity","MINORITY_NONCONTROLLING_INTEREST","FQ1 2005","FQ1 2005","Currency=USD","Period=FQ","BEST_FPERIOD_OVERRIDE=FQ","FILING_STATUS=OR","SCALING_FORMAT=MLN","Sort=A","Dates=H","DateFormat=P","Fill=—","Direction=H","UseDPDF=Y")</f>
        <v>0</v>
      </c>
      <c r="AD47" s="13">
        <f>_xll.BDH("XOM US Equity","MINORITY_NONCONTROLLING_INTEREST","FQ2 2005","FQ2 2005","Currency=USD","Period=FQ","BEST_FPERIOD_OVERRIDE=FQ","FILING_STATUS=OR","SCALING_FORMAT=MLN","Sort=A","Dates=H","DateFormat=P","Fill=—","Direction=H","UseDPDF=Y")</f>
        <v>0</v>
      </c>
      <c r="AE47" s="13">
        <f>_xll.BDH("XOM US Equity","MINORITY_NONCONTROLLING_INTEREST","FQ3 2005","FQ3 2005","Currency=USD","Period=FQ","BEST_FPERIOD_OVERRIDE=FQ","FILING_STATUS=OR","SCALING_FORMAT=MLN","Sort=A","Dates=H","DateFormat=P","Fill=—","Direction=H","UseDPDF=Y")</f>
        <v>0</v>
      </c>
      <c r="AF47" s="13">
        <f>_xll.BDH("XOM US Equity","MINORITY_NONCONTROLLING_INTEREST","FQ4 2005","FQ4 2005","Currency=USD","Period=FQ","BEST_FPERIOD_OVERRIDE=FQ","FILING_STATUS=OR","SCALING_FORMAT=MLN","Sort=A","Dates=H","DateFormat=P","Fill=—","Direction=H","UseDPDF=Y")</f>
        <v>3527</v>
      </c>
      <c r="AG47" s="13">
        <f>_xll.BDH("XOM US Equity","MINORITY_NONCONTROLLING_INTEREST","FQ1 2006","FQ1 2006","Currency=USD","Period=FQ","BEST_FPERIOD_OVERRIDE=FQ","FILING_STATUS=OR","SCALING_FORMAT=MLN","Sort=A","Dates=H","DateFormat=P","Fill=—","Direction=H","UseDPDF=Y")</f>
        <v>0</v>
      </c>
      <c r="AH47" s="13">
        <f>_xll.BDH("XOM US Equity","MINORITY_NONCONTROLLING_INTEREST","FQ2 2006","FQ2 2006","Currency=USD","Period=FQ","BEST_FPERIOD_OVERRIDE=FQ","FILING_STATUS=OR","SCALING_FORMAT=MLN","Sort=A","Dates=H","DateFormat=P","Fill=—","Direction=H","UseDPDF=Y")</f>
        <v>0</v>
      </c>
      <c r="AI47" s="13">
        <f>_xll.BDH("XOM US Equity","MINORITY_NONCONTROLLING_INTEREST","FQ3 2006","FQ3 2006","Currency=USD","Period=FQ","BEST_FPERIOD_OVERRIDE=FQ","FILING_STATUS=OR","SCALING_FORMAT=MLN","Sort=A","Dates=H","DateFormat=P","Fill=—","Direction=H","UseDPDF=Y")</f>
        <v>0</v>
      </c>
      <c r="AJ47" s="13">
        <f>_xll.BDH("XOM US Equity","MINORITY_NONCONTROLLING_INTEREST","FQ4 2006","FQ4 2006","Currency=USD","Period=FQ","BEST_FPERIOD_OVERRIDE=FQ","FILING_STATUS=OR","SCALING_FORMAT=MLN","Sort=A","Dates=H","DateFormat=P","Fill=—","Direction=H","UseDPDF=Y")</f>
        <v>3804</v>
      </c>
      <c r="AK47" s="13">
        <f>_xll.BDH("XOM US Equity","MINORITY_NONCONTROLLING_INTEREST","FQ1 2007","FQ1 2007","Currency=USD","Period=FQ","BEST_FPERIOD_OVERRIDE=FQ","FILING_STATUS=OR","SCALING_FORMAT=MLN","Sort=A","Dates=H","DateFormat=P","Fill=—","Direction=H","UseDPDF=Y")</f>
        <v>0</v>
      </c>
      <c r="AL47" s="13">
        <f>_xll.BDH("XOM US Equity","MINORITY_NONCONTROLLING_INTEREST","FQ2 2007","FQ2 2007","Currency=USD","Period=FQ","BEST_FPERIOD_OVERRIDE=FQ","FILING_STATUS=OR","SCALING_FORMAT=MLN","Sort=A","Dates=H","DateFormat=P","Fill=—","Direction=H","UseDPDF=Y")</f>
        <v>0</v>
      </c>
      <c r="AM47" s="13">
        <f>_xll.BDH("XOM US Equity","MINORITY_NONCONTROLLING_INTEREST","FQ3 2007","FQ3 2007","Currency=USD","Period=FQ","BEST_FPERIOD_OVERRIDE=FQ","FILING_STATUS=OR","SCALING_FORMAT=MLN","Sort=A","Dates=H","DateFormat=P","Fill=—","Direction=H","UseDPDF=Y")</f>
        <v>0</v>
      </c>
      <c r="AN47" s="13">
        <f>_xll.BDH("XOM US Equity","MINORITY_NONCONTROLLING_INTEREST","FQ4 2007","FQ4 2007","Currency=USD","Period=FQ","BEST_FPERIOD_OVERRIDE=FQ","FILING_STATUS=OR","SCALING_FORMAT=MLN","Sort=A","Dates=H","DateFormat=P","Fill=—","Direction=H","UseDPDF=Y")</f>
        <v>4282</v>
      </c>
      <c r="AO47" s="13">
        <f>_xll.BDH("XOM US Equity","MINORITY_NONCONTROLLING_INTEREST","FQ1 2008","FQ1 2008","Currency=USD","Period=FQ","BEST_FPERIOD_OVERRIDE=FQ","FILING_STATUS=OR","SCALING_FORMAT=MLN","Sort=A","Dates=H","DateFormat=P","Fill=—","Direction=H","UseDPDF=Y")</f>
        <v>0</v>
      </c>
      <c r="AP47" s="13">
        <f>_xll.BDH("XOM US Equity","MINORITY_NONCONTROLLING_INTEREST","FQ2 2008","FQ2 2008","Currency=USD","Period=FQ","BEST_FPERIOD_OVERRIDE=FQ","FILING_STATUS=OR","SCALING_FORMAT=MLN","Sort=A","Dates=H","DateFormat=P","Fill=—","Direction=H","UseDPDF=Y")</f>
        <v>0</v>
      </c>
    </row>
    <row r="48" spans="1:42" x14ac:dyDescent="0.25">
      <c r="A48" s="6" t="s">
        <v>255</v>
      </c>
      <c r="B48" s="6" t="s">
        <v>256</v>
      </c>
      <c r="C48" s="16">
        <f>_xll.BDH("XOM US Equity","TOTAL_EQUITY","FQ3 1998","FQ3 1998","Currency=USD","Period=FQ","BEST_FPERIOD_OVERRIDE=FQ","FILING_STATUS=OR","SCALING_FORMAT=MLN","Sort=A","Dates=H","DateFormat=P","Fill=—","Direction=H","UseDPDF=Y")</f>
        <v>43884</v>
      </c>
      <c r="D48" s="16">
        <f>_xll.BDH("XOM US Equity","TOTAL_EQUITY","FQ4 1998","FQ4 1998","Currency=USD","Period=FQ","BEST_FPERIOD_OVERRIDE=FQ","FILING_STATUS=OR","SCALING_FORMAT=MLN","Sort=A","Dates=H","DateFormat=P","Fill=—","Direction=H","UseDPDF=Y")</f>
        <v>45557</v>
      </c>
      <c r="E48" s="16">
        <f>_xll.BDH("XOM US Equity","TOTAL_EQUITY","FQ1 1999","FQ1 1999","Currency=USD","Period=FQ","BEST_FPERIOD_OVERRIDE=FQ","FILING_STATUS=OR","SCALING_FORMAT=MLN","Sort=A","Dates=H","DateFormat=P","Fill=—","Direction=H","UseDPDF=Y")</f>
        <v>43002</v>
      </c>
      <c r="F48" s="16">
        <f>_xll.BDH("XOM US Equity","TOTAL_EQUITY","FQ2 1999","FQ2 1999","Currency=USD","Period=FQ","BEST_FPERIOD_OVERRIDE=FQ","FILING_STATUS=OR","SCALING_FORMAT=MLN","Sort=A","Dates=H","DateFormat=P","Fill=—","Direction=H","UseDPDF=Y")</f>
        <v>42829</v>
      </c>
      <c r="G48" s="16">
        <f>_xll.BDH("XOM US Equity","TOTAL_EQUITY","FQ3 1999","FQ3 1999","Currency=USD","Period=FQ","BEST_FPERIOD_OVERRIDE=FQ","FILING_STATUS=OR","SCALING_FORMAT=MLN","Sort=A","Dates=H","DateFormat=P","Fill=—","Direction=H","UseDPDF=Y")</f>
        <v>43834</v>
      </c>
      <c r="H48" s="16">
        <f>_xll.BDH("XOM US Equity","TOTAL_EQUITY","FQ4 1999","FQ4 1999","Currency=USD","Period=FQ","BEST_FPERIOD_OVERRIDE=FQ","FILING_STATUS=OR","SCALING_FORMAT=MLN","Sort=A","Dates=H","DateFormat=P","Fill=—","Direction=H","UseDPDF=Y")</f>
        <v>67154</v>
      </c>
      <c r="I48" s="16">
        <f>_xll.BDH("XOM US Equity","TOTAL_EQUITY","FQ1 2000","FQ1 2000","Currency=USD","Period=FQ","BEST_FPERIOD_OVERRIDE=FQ","FILING_STATUS=OR","SCALING_FORMAT=MLN","Sort=A","Dates=H","DateFormat=P","Fill=—","Direction=H","UseDPDF=Y")</f>
        <v>64605</v>
      </c>
      <c r="J48" s="16">
        <f>_xll.BDH("XOM US Equity","TOTAL_EQUITY","FQ2 2000","FQ2 2000","Currency=USD","Period=FQ","BEST_FPERIOD_OVERRIDE=FQ","FILING_STATUS=OR","SCALING_FORMAT=MLN","Sort=A","Dates=H","DateFormat=P","Fill=—","Direction=H","UseDPDF=Y")</f>
        <v>66936</v>
      </c>
      <c r="K48" s="16">
        <f>_xll.BDH("XOM US Equity","TOTAL_EQUITY","FQ3 2000","FQ3 2000","Currency=USD","Period=FQ","BEST_FPERIOD_OVERRIDE=FQ","FILING_STATUS=OR","SCALING_FORMAT=MLN","Sort=A","Dates=H","DateFormat=P","Fill=—","Direction=H","UseDPDF=Y")</f>
        <v>68111</v>
      </c>
      <c r="L48" s="16">
        <f>_xll.BDH("XOM US Equity","TOTAL_EQUITY","FQ4 2000","FQ4 2000","Currency=USD","Period=FQ","BEST_FPERIOD_OVERRIDE=FQ","FILING_STATUS=OR","SCALING_FORMAT=MLN","Sort=A","Dates=H","DateFormat=P","Fill=—","Direction=H","UseDPDF=Y")</f>
        <v>73987</v>
      </c>
      <c r="M48" s="16">
        <f>_xll.BDH("XOM US Equity","TOTAL_EQUITY","FQ1 2001","FQ1 2001","Currency=USD","Period=FQ","BEST_FPERIOD_OVERRIDE=FQ","FILING_STATUS=OR","SCALING_FORMAT=MLN","Sort=A","Dates=H","DateFormat=P","Fill=—","Direction=H","UseDPDF=Y")</f>
        <v>71889</v>
      </c>
      <c r="N48" s="16">
        <f>_xll.BDH("XOM US Equity","TOTAL_EQUITY","FQ2 2001","FQ2 2001","Currency=USD","Period=FQ","BEST_FPERIOD_OVERRIDE=FQ","FILING_STATUS=OR","SCALING_FORMAT=MLN","Sort=A","Dates=H","DateFormat=P","Fill=—","Direction=H","UseDPDF=Y")</f>
        <v>72974</v>
      </c>
      <c r="O48" s="16">
        <f>_xll.BDH("XOM US Equity","TOTAL_EQUITY","FQ3 2001","FQ3 2001","Currency=USD","Period=FQ","BEST_FPERIOD_OVERRIDE=FQ","FILING_STATUS=OR","SCALING_FORMAT=MLN","Sort=A","Dates=H","DateFormat=P","Fill=—","Direction=H","UseDPDF=Y")</f>
        <v>73825</v>
      </c>
      <c r="P48" s="16">
        <f>_xll.BDH("XOM US Equity","TOTAL_EQUITY","FQ4 2001","FQ4 2001","Currency=USD","Period=FQ","BEST_FPERIOD_OVERRIDE=FQ","FILING_STATUS=OR","SCALING_FORMAT=MLN","Sort=A","Dates=H","DateFormat=P","Fill=—","Direction=H","UseDPDF=Y")</f>
        <v>75986</v>
      </c>
      <c r="Q48" s="16">
        <f>_xll.BDH("XOM US Equity","TOTAL_EQUITY","FQ1 2002","FQ1 2002","Currency=USD","Period=FQ","BEST_FPERIOD_OVERRIDE=FQ","FILING_STATUS=OR","SCALING_FORMAT=MLN","Sort=A","Dates=H","DateFormat=P","Fill=—","Direction=H","UseDPDF=Y")</f>
        <v>72367</v>
      </c>
      <c r="R48" s="16">
        <f>_xll.BDH("XOM US Equity","TOTAL_EQUITY","FQ2 2002","FQ2 2002","Currency=USD","Period=FQ","BEST_FPERIOD_OVERRIDE=FQ","FILING_STATUS=OR","SCALING_FORMAT=MLN","Sort=A","Dates=H","DateFormat=P","Fill=—","Direction=H","UseDPDF=Y")</f>
        <v>75118</v>
      </c>
      <c r="S48" s="16">
        <f>_xll.BDH("XOM US Equity","TOTAL_EQUITY","FQ3 2002","FQ3 2002","Currency=USD","Period=FQ","BEST_FPERIOD_OVERRIDE=FQ","FILING_STATUS=OR","SCALING_FORMAT=MLN","Sort=A","Dates=H","DateFormat=P","Fill=—","Direction=H","UseDPDF=Y")</f>
        <v>74690</v>
      </c>
      <c r="T48" s="16">
        <f>_xll.BDH("XOM US Equity","TOTAL_EQUITY","FQ4 2002","FQ4 2002","Currency=USD","Period=FQ","BEST_FPERIOD_OVERRIDE=FQ","FILING_STATUS=OR","SCALING_FORMAT=MLN","Sort=A","Dates=H","DateFormat=P","Fill=—","Direction=H","UseDPDF=Y")</f>
        <v>77365</v>
      </c>
      <c r="U48" s="16">
        <f>_xll.BDH("XOM US Equity","TOTAL_EQUITY","FQ1 2003","FQ1 2003","Currency=USD","Period=FQ","BEST_FPERIOD_OVERRIDE=FQ","FILING_STATUS=OR","SCALING_FORMAT=MLN","Sort=A","Dates=H","DateFormat=P","Fill=—","Direction=H","UseDPDF=Y")</f>
        <v>79585</v>
      </c>
      <c r="V48" s="16">
        <f>_xll.BDH("XOM US Equity","TOTAL_EQUITY","FQ2 2003","FQ2 2003","Currency=USD","Period=FQ","BEST_FPERIOD_OVERRIDE=FQ","FILING_STATUS=OR","SCALING_FORMAT=MLN","Sort=A","Dates=H","DateFormat=P","Fill=—","Direction=H","UseDPDF=Y")</f>
        <v>82581</v>
      </c>
      <c r="W48" s="16">
        <f>_xll.BDH("XOM US Equity","TOTAL_EQUITY","FQ3 2003","FQ3 2003","Currency=USD","Period=FQ","BEST_FPERIOD_OVERRIDE=FQ","FILING_STATUS=OR","SCALING_FORMAT=MLN","Sort=A","Dates=H","DateFormat=P","Fill=—","Direction=H","UseDPDF=Y")</f>
        <v>83764</v>
      </c>
      <c r="X48" s="16">
        <f>_xll.BDH("XOM US Equity","TOTAL_EQUITY","FQ4 2003","FQ4 2003","Currency=USD","Period=FQ","BEST_FPERIOD_OVERRIDE=FQ","FILING_STATUS=OR","SCALING_FORMAT=MLN","Sort=A","Dates=H","DateFormat=P","Fill=—","Direction=H","UseDPDF=Y")</f>
        <v>93297</v>
      </c>
      <c r="Y48" s="16">
        <f>_xll.BDH("XOM US Equity","TOTAL_EQUITY","FQ1 2004","FQ1 2004","Currency=USD","Period=FQ","BEST_FPERIOD_OVERRIDE=FQ","FILING_STATUS=OR","SCALING_FORMAT=MLN","Sort=A","Dates=H","DateFormat=P","Fill=—","Direction=H","UseDPDF=Y")</f>
        <v>91681</v>
      </c>
      <c r="Z48" s="16">
        <f>_xll.BDH("XOM US Equity","TOTAL_EQUITY","FQ2 2004","FQ2 2004","Currency=USD","Period=FQ","BEST_FPERIOD_OVERRIDE=FQ","FILING_STATUS=OR","SCALING_FORMAT=MLN","Sort=A","Dates=H","DateFormat=P","Fill=—","Direction=H","UseDPDF=Y")</f>
        <v>93535</v>
      </c>
      <c r="AA48" s="16">
        <f>_xll.BDH("XOM US Equity","TOTAL_EQUITY","FQ3 2004","FQ3 2004","Currency=USD","Period=FQ","BEST_FPERIOD_OVERRIDE=FQ","FILING_STATUS=OR","SCALING_FORMAT=MLN","Sort=A","Dates=H","DateFormat=P","Fill=—","Direction=H","UseDPDF=Y")</f>
        <v>95442</v>
      </c>
      <c r="AB48" s="16">
        <f>_xll.BDH("XOM US Equity","TOTAL_EQUITY","FQ4 2004","FQ4 2004","Currency=USD","Period=FQ","BEST_FPERIOD_OVERRIDE=FQ","FILING_STATUS=OR","SCALING_FORMAT=MLN","Sort=A","Dates=H","DateFormat=P","Fill=—","Direction=H","UseDPDF=Y")</f>
        <v>105708</v>
      </c>
      <c r="AC48" s="16">
        <f>_xll.BDH("XOM US Equity","TOTAL_EQUITY","FQ1 2005","FQ1 2005","Currency=USD","Period=FQ","BEST_FPERIOD_OVERRIDE=FQ","FILING_STATUS=OR","SCALING_FORMAT=MLN","Sort=A","Dates=H","DateFormat=P","Fill=—","Direction=H","UseDPDF=Y")</f>
        <v>103698</v>
      </c>
      <c r="AD48" s="16">
        <f>_xll.BDH("XOM US Equity","TOTAL_EQUITY","FQ2 2005","FQ2 2005","Currency=USD","Period=FQ","BEST_FPERIOD_OVERRIDE=FQ","FILING_STATUS=OR","SCALING_FORMAT=MLN","Sort=A","Dates=H","DateFormat=P","Fill=—","Direction=H","UseDPDF=Y")</f>
        <v>104596</v>
      </c>
      <c r="AE48" s="16">
        <f>_xll.BDH("XOM US Equity","TOTAL_EQUITY","FQ3 2005","FQ3 2005","Currency=USD","Period=FQ","BEST_FPERIOD_OVERRIDE=FQ","FILING_STATUS=OR","SCALING_FORMAT=MLN","Sort=A","Dates=H","DateFormat=P","Fill=—","Direction=H","UseDPDF=Y")</f>
        <v>107890</v>
      </c>
      <c r="AF48" s="16">
        <f>_xll.BDH("XOM US Equity","TOTAL_EQUITY","FQ4 2005","FQ4 2005","Currency=USD","Period=FQ","BEST_FPERIOD_OVERRIDE=FQ","FILING_STATUS=OR","SCALING_FORMAT=MLN","Sort=A","Dates=H","DateFormat=P","Fill=—","Direction=H","UseDPDF=Y")</f>
        <v>114713</v>
      </c>
      <c r="AG48" s="16">
        <f>_xll.BDH("XOM US Equity","TOTAL_EQUITY","FQ1 2006","FQ1 2006","Currency=USD","Period=FQ","BEST_FPERIOD_OVERRIDE=FQ","FILING_STATUS=OR","SCALING_FORMAT=MLN","Sort=A","Dates=H","DateFormat=P","Fill=—","Direction=H","UseDPDF=Y")</f>
        <v>112463</v>
      </c>
      <c r="AH48" s="16">
        <f>_xll.BDH("XOM US Equity","TOTAL_EQUITY","FQ2 2006","FQ2 2006","Currency=USD","Period=FQ","BEST_FPERIOD_OVERRIDE=FQ","FILING_STATUS=OR","SCALING_FORMAT=MLN","Sort=A","Dates=H","DateFormat=P","Fill=—","Direction=H","UseDPDF=Y")</f>
        <v>115764</v>
      </c>
      <c r="AI48" s="16">
        <f>_xll.BDH("XOM US Equity","TOTAL_EQUITY","FQ3 2006","FQ3 2006","Currency=USD","Period=FQ","BEST_FPERIOD_OVERRIDE=FQ","FILING_STATUS=OR","SCALING_FORMAT=MLN","Sort=A","Dates=H","DateFormat=P","Fill=—","Direction=H","UseDPDF=Y")</f>
        <v>116593</v>
      </c>
      <c r="AJ48" s="16">
        <f>_xll.BDH("XOM US Equity","TOTAL_EQUITY","FQ4 2006","FQ4 2006","Currency=USD","Period=FQ","BEST_FPERIOD_OVERRIDE=FQ","FILING_STATUS=OR","SCALING_FORMAT=MLN","Sort=A","Dates=H","DateFormat=P","Fill=—","Direction=H","UseDPDF=Y")</f>
        <v>117648</v>
      </c>
      <c r="AK48" s="16">
        <f>_xll.BDH("XOM US Equity","TOTAL_EQUITY","FQ1 2007","FQ1 2007","Currency=USD","Period=FQ","BEST_FPERIOD_OVERRIDE=FQ","FILING_STATUS=OR","SCALING_FORMAT=MLN","Sort=A","Dates=H","DateFormat=P","Fill=—","Direction=H","UseDPDF=Y")</f>
        <v>114110</v>
      </c>
      <c r="AL48" s="16">
        <f>_xll.BDH("XOM US Equity","TOTAL_EQUITY","FQ2 2007","FQ2 2007","Currency=USD","Period=FQ","BEST_FPERIOD_OVERRIDE=FQ","FILING_STATUS=OR","SCALING_FORMAT=MLN","Sort=A","Dates=H","DateFormat=P","Fill=—","Direction=H","UseDPDF=Y")</f>
        <v>116350</v>
      </c>
      <c r="AM48" s="16">
        <f>_xll.BDH("XOM US Equity","TOTAL_EQUITY","FQ3 2007","FQ3 2007","Currency=USD","Period=FQ","BEST_FPERIOD_OVERRIDE=FQ","FILING_STATUS=OR","SCALING_FORMAT=MLN","Sort=A","Dates=H","DateFormat=P","Fill=—","Direction=H","UseDPDF=Y")</f>
        <v>118603</v>
      </c>
      <c r="AN48" s="16">
        <f>_xll.BDH("XOM US Equity","TOTAL_EQUITY","FQ4 2007","FQ4 2007","Currency=USD","Period=FQ","BEST_FPERIOD_OVERRIDE=FQ","FILING_STATUS=OR","SCALING_FORMAT=MLN","Sort=A","Dates=H","DateFormat=P","Fill=—","Direction=H","UseDPDF=Y")</f>
        <v>126044</v>
      </c>
      <c r="AO48" s="16">
        <f>_xll.BDH("XOM US Equity","TOTAL_EQUITY","FQ1 2008","FQ1 2008","Currency=USD","Period=FQ","BEST_FPERIOD_OVERRIDE=FQ","FILING_STATUS=OR","SCALING_FORMAT=MLN","Sort=A","Dates=H","DateFormat=P","Fill=—","Direction=H","UseDPDF=Y")</f>
        <v>123139</v>
      </c>
      <c r="AP48" s="16">
        <f>_xll.BDH("XOM US Equity","TOTAL_EQUITY","FQ2 2008","FQ2 2008","Currency=USD","Period=FQ","BEST_FPERIOD_OVERRIDE=FQ","FILING_STATUS=OR","SCALING_FORMAT=MLN","Sort=A","Dates=H","DateFormat=P","Fill=—","Direction=H","UseDPDF=Y")</f>
        <v>124826</v>
      </c>
    </row>
    <row r="49" spans="1:42" x14ac:dyDescent="0.25">
      <c r="A49" s="6" t="s">
        <v>257</v>
      </c>
      <c r="B49" s="6" t="s">
        <v>258</v>
      </c>
      <c r="C49" s="16">
        <f>_xll.BDH("XOM US Equity","TOT_LIAB_AND_EQY","FQ3 1998","FQ3 1998","Currency=USD","Period=FQ","BEST_FPERIOD_OVERRIDE=FQ","FILING_STATUS=OR","SCALING_FORMAT=MLN","Sort=A","Dates=H","DateFormat=P","Fill=—","Direction=H","UseDPDF=Y")</f>
        <v>95352</v>
      </c>
      <c r="D49" s="16">
        <f>_xll.BDH("XOM US Equity","TOT_LIAB_AND_EQY","FQ4 1998","FQ4 1998","Currency=USD","Period=FQ","BEST_FPERIOD_OVERRIDE=FQ","FILING_STATUS=OR","SCALING_FORMAT=MLN","Sort=A","Dates=H","DateFormat=P","Fill=—","Direction=H","UseDPDF=Y")</f>
        <v>92630</v>
      </c>
      <c r="E49" s="16">
        <f>_xll.BDH("XOM US Equity","TOT_LIAB_AND_EQY","FQ1 1999","FQ1 1999","Currency=USD","Period=FQ","BEST_FPERIOD_OVERRIDE=FQ","FILING_STATUS=OR","SCALING_FORMAT=MLN","Sort=A","Dates=H","DateFormat=P","Fill=—","Direction=H","UseDPDF=Y")</f>
        <v>90731</v>
      </c>
      <c r="F49" s="16">
        <f>_xll.BDH("XOM US Equity","TOT_LIAB_AND_EQY","FQ2 1999","FQ2 1999","Currency=USD","Period=FQ","BEST_FPERIOD_OVERRIDE=FQ","FILING_STATUS=OR","SCALING_FORMAT=MLN","Sort=A","Dates=H","DateFormat=P","Fill=—","Direction=H","UseDPDF=Y")</f>
        <v>91235</v>
      </c>
      <c r="G49" s="16">
        <f>_xll.BDH("XOM US Equity","TOT_LIAB_AND_EQY","FQ3 1999","FQ3 1999","Currency=USD","Period=FQ","BEST_FPERIOD_OVERRIDE=FQ","FILING_STATUS=OR","SCALING_FORMAT=MLN","Sort=A","Dates=H","DateFormat=P","Fill=—","Direction=H","UseDPDF=Y")</f>
        <v>94394</v>
      </c>
      <c r="H49" s="16">
        <f>_xll.BDH("XOM US Equity","TOT_LIAB_AND_EQY","FQ4 1999","FQ4 1999","Currency=USD","Period=FQ","BEST_FPERIOD_OVERRIDE=FQ","FILING_STATUS=OR","SCALING_FORMAT=MLN","Sort=A","Dates=H","DateFormat=P","Fill=—","Direction=H","UseDPDF=Y")</f>
        <v>144521</v>
      </c>
      <c r="I49" s="16">
        <f>_xll.BDH("XOM US Equity","TOT_LIAB_AND_EQY","FQ1 2000","FQ1 2000","Currency=USD","Period=FQ","BEST_FPERIOD_OVERRIDE=FQ","FILING_STATUS=OR","SCALING_FORMAT=MLN","Sort=A","Dates=H","DateFormat=P","Fill=—","Direction=H","UseDPDF=Y")</f>
        <v>143238</v>
      </c>
      <c r="J49" s="16">
        <f>_xll.BDH("XOM US Equity","TOT_LIAB_AND_EQY","FQ2 2000","FQ2 2000","Currency=USD","Period=FQ","BEST_FPERIOD_OVERRIDE=FQ","FILING_STATUS=OR","SCALING_FORMAT=MLN","Sort=A","Dates=H","DateFormat=P","Fill=—","Direction=H","UseDPDF=Y")</f>
        <v>146618</v>
      </c>
      <c r="K49" s="16">
        <f>_xll.BDH("XOM US Equity","TOT_LIAB_AND_EQY","FQ3 2000","FQ3 2000","Currency=USD","Period=FQ","BEST_FPERIOD_OVERRIDE=FQ","FILING_STATUS=OR","SCALING_FORMAT=MLN","Sort=A","Dates=H","DateFormat=P","Fill=—","Direction=H","UseDPDF=Y")</f>
        <v>148252</v>
      </c>
      <c r="L49" s="16">
        <f>_xll.BDH("XOM US Equity","TOT_LIAB_AND_EQY","FQ4 2000","FQ4 2000","Currency=USD","Period=FQ","BEST_FPERIOD_OVERRIDE=FQ","FILING_STATUS=OR","SCALING_FORMAT=MLN","Sort=A","Dates=H","DateFormat=P","Fill=—","Direction=H","UseDPDF=Y")</f>
        <v>149000</v>
      </c>
      <c r="M49" s="16">
        <f>_xll.BDH("XOM US Equity","TOT_LIAB_AND_EQY","FQ1 2001","FQ1 2001","Currency=USD","Period=FQ","BEST_FPERIOD_OVERRIDE=FQ","FILING_STATUS=OR","SCALING_FORMAT=MLN","Sort=A","Dates=H","DateFormat=P","Fill=—","Direction=H","UseDPDF=Y")</f>
        <v>148786</v>
      </c>
      <c r="N49" s="16">
        <f>_xll.BDH("XOM US Equity","TOT_LIAB_AND_EQY","FQ2 2001","FQ2 2001","Currency=USD","Period=FQ","BEST_FPERIOD_OVERRIDE=FQ","FILING_STATUS=OR","SCALING_FORMAT=MLN","Sort=A","Dates=H","DateFormat=P","Fill=—","Direction=H","UseDPDF=Y")</f>
        <v>147660</v>
      </c>
      <c r="O49" s="16">
        <f>_xll.BDH("XOM US Equity","TOT_LIAB_AND_EQY","FQ3 2001","FQ3 2001","Currency=USD","Period=FQ","BEST_FPERIOD_OVERRIDE=FQ","FILING_STATUS=OR","SCALING_FORMAT=MLN","Sort=A","Dates=H","DateFormat=P","Fill=—","Direction=H","UseDPDF=Y")</f>
        <v>147904</v>
      </c>
      <c r="P49" s="16">
        <f>_xll.BDH("XOM US Equity","TOT_LIAB_AND_EQY","FQ4 2001","FQ4 2001","Currency=USD","Period=FQ","BEST_FPERIOD_OVERRIDE=FQ","FILING_STATUS=OR","SCALING_FORMAT=MLN","Sort=A","Dates=H","DateFormat=P","Fill=—","Direction=H","UseDPDF=Y")</f>
        <v>143174</v>
      </c>
      <c r="Q49" s="16">
        <f>_xll.BDH("XOM US Equity","TOT_LIAB_AND_EQY","FQ1 2002","FQ1 2002","Currency=USD","Period=FQ","BEST_FPERIOD_OVERRIDE=FQ","FILING_STATUS=OR","SCALING_FORMAT=MLN","Sort=A","Dates=H","DateFormat=P","Fill=—","Direction=H","UseDPDF=Y")</f>
        <v>142037</v>
      </c>
      <c r="R49" s="16">
        <f>_xll.BDH("XOM US Equity","TOT_LIAB_AND_EQY","FQ2 2002","FQ2 2002","Currency=USD","Period=FQ","BEST_FPERIOD_OVERRIDE=FQ","FILING_STATUS=OR","SCALING_FORMAT=MLN","Sort=A","Dates=H","DateFormat=P","Fill=—","Direction=H","UseDPDF=Y")</f>
        <v>148232</v>
      </c>
      <c r="S49" s="16">
        <f>_xll.BDH("XOM US Equity","TOT_LIAB_AND_EQY","FQ3 2002","FQ3 2002","Currency=USD","Period=FQ","BEST_FPERIOD_OVERRIDE=FQ","FILING_STATUS=OR","SCALING_FORMAT=MLN","Sort=A","Dates=H","DateFormat=P","Fill=—","Direction=H","UseDPDF=Y")</f>
        <v>149473</v>
      </c>
      <c r="T49" s="16">
        <f>_xll.BDH("XOM US Equity","TOT_LIAB_AND_EQY","FQ4 2002","FQ4 2002","Currency=USD","Period=FQ","BEST_FPERIOD_OVERRIDE=FQ","FILING_STATUS=OR","SCALING_FORMAT=MLN","Sort=A","Dates=H","DateFormat=P","Fill=—","Direction=H","UseDPDF=Y")</f>
        <v>152644</v>
      </c>
      <c r="U49" s="16">
        <f>_xll.BDH("XOM US Equity","TOT_LIAB_AND_EQY","FQ1 2003","FQ1 2003","Currency=USD","Period=FQ","BEST_FPERIOD_OVERRIDE=FQ","FILING_STATUS=OR","SCALING_FORMAT=MLN","Sort=A","Dates=H","DateFormat=P","Fill=—","Direction=H","UseDPDF=Y")</f>
        <v>162495</v>
      </c>
      <c r="V49" s="16">
        <f>_xll.BDH("XOM US Equity","TOT_LIAB_AND_EQY","FQ2 2003","FQ2 2003","Currency=USD","Period=FQ","BEST_FPERIOD_OVERRIDE=FQ","FILING_STATUS=OR","SCALING_FORMAT=MLN","Sort=A","Dates=H","DateFormat=P","Fill=—","Direction=H","UseDPDF=Y")</f>
        <v>165103</v>
      </c>
      <c r="W49" s="16">
        <f>_xll.BDH("XOM US Equity","TOT_LIAB_AND_EQY","FQ3 2003","FQ3 2003","Currency=USD","Period=FQ","BEST_FPERIOD_OVERRIDE=FQ","FILING_STATUS=OR","SCALING_FORMAT=MLN","Sort=A","Dates=H","DateFormat=P","Fill=—","Direction=H","UseDPDF=Y")</f>
        <v>166987</v>
      </c>
      <c r="X49" s="16">
        <f>_xll.BDH("XOM US Equity","TOT_LIAB_AND_EQY","FQ4 2003","FQ4 2003","Currency=USD","Period=FQ","BEST_FPERIOD_OVERRIDE=FQ","FILING_STATUS=OR","SCALING_FORMAT=MLN","Sort=A","Dates=H","DateFormat=P","Fill=—","Direction=H","UseDPDF=Y")</f>
        <v>174278</v>
      </c>
      <c r="Y49" s="16">
        <f>_xll.BDH("XOM US Equity","TOT_LIAB_AND_EQY","FQ1 2004","FQ1 2004","Currency=USD","Period=FQ","BEST_FPERIOD_OVERRIDE=FQ","FILING_STATUS=OR","SCALING_FORMAT=MLN","Sort=A","Dates=H","DateFormat=P","Fill=—","Direction=H","UseDPDF=Y")</f>
        <v>180202</v>
      </c>
      <c r="Z49" s="16">
        <f>_xll.BDH("XOM US Equity","TOT_LIAB_AND_EQY","FQ2 2004","FQ2 2004","Currency=USD","Period=FQ","BEST_FPERIOD_OVERRIDE=FQ","FILING_STATUS=OR","SCALING_FORMAT=MLN","Sort=A","Dates=H","DateFormat=P","Fill=—","Direction=H","UseDPDF=Y")</f>
        <v>180989</v>
      </c>
      <c r="AA49" s="16">
        <f>_xll.BDH("XOM US Equity","TOT_LIAB_AND_EQY","FQ3 2004","FQ3 2004","Currency=USD","Period=FQ","BEST_FPERIOD_OVERRIDE=FQ","FILING_STATUS=OR","SCALING_FORMAT=MLN","Sort=A","Dates=H","DateFormat=P","Fill=—","Direction=H","UseDPDF=Y")</f>
        <v>187433</v>
      </c>
      <c r="AB49" s="16">
        <f>_xll.BDH("XOM US Equity","TOT_LIAB_AND_EQY","FQ4 2004","FQ4 2004","Currency=USD","Period=FQ","BEST_FPERIOD_OVERRIDE=FQ","FILING_STATUS=OR","SCALING_FORMAT=MLN","Sort=A","Dates=H","DateFormat=P","Fill=—","Direction=H","UseDPDF=Y")</f>
        <v>195256</v>
      </c>
      <c r="AC49" s="16">
        <f>_xll.BDH("XOM US Equity","TOT_LIAB_AND_EQY","FQ1 2005","FQ1 2005","Currency=USD","Period=FQ","BEST_FPERIOD_OVERRIDE=FQ","FILING_STATUS=OR","SCALING_FORMAT=MLN","Sort=A","Dates=H","DateFormat=P","Fill=—","Direction=H","UseDPDF=Y")</f>
        <v>201252</v>
      </c>
      <c r="AD49" s="16">
        <f>_xll.BDH("XOM US Equity","TOT_LIAB_AND_EQY","FQ2 2005","FQ2 2005","Currency=USD","Period=FQ","BEST_FPERIOD_OVERRIDE=FQ","FILING_STATUS=OR","SCALING_FORMAT=MLN","Sort=A","Dates=H","DateFormat=P","Fill=—","Direction=H","UseDPDF=Y")</f>
        <v>201816</v>
      </c>
      <c r="AE49" s="16">
        <f>_xll.BDH("XOM US Equity","TOT_LIAB_AND_EQY","FQ3 2005","FQ3 2005","Currency=USD","Period=FQ","BEST_FPERIOD_OVERRIDE=FQ","FILING_STATUS=OR","SCALING_FORMAT=MLN","Sort=A","Dates=H","DateFormat=P","Fill=—","Direction=H","UseDPDF=Y")</f>
        <v>209721</v>
      </c>
      <c r="AF49" s="16">
        <f>_xll.BDH("XOM US Equity","TOT_LIAB_AND_EQY","FQ4 2005","FQ4 2005","Currency=USD","Period=FQ","BEST_FPERIOD_OVERRIDE=FQ","FILING_STATUS=OR","SCALING_FORMAT=MLN","Sort=A","Dates=H","DateFormat=P","Fill=—","Direction=H","UseDPDF=Y")</f>
        <v>208335</v>
      </c>
      <c r="AG49" s="16">
        <f>_xll.BDH("XOM US Equity","TOT_LIAB_AND_EQY","FQ1 2006","FQ1 2006","Currency=USD","Period=FQ","BEST_FPERIOD_OVERRIDE=FQ","FILING_STATUS=OR","SCALING_FORMAT=MLN","Sort=A","Dates=H","DateFormat=P","Fill=—","Direction=H","UseDPDF=Y")</f>
        <v>216002</v>
      </c>
      <c r="AH49" s="16">
        <f>_xll.BDH("XOM US Equity","TOT_LIAB_AND_EQY","FQ2 2006","FQ2 2006","Currency=USD","Period=FQ","BEST_FPERIOD_OVERRIDE=FQ","FILING_STATUS=OR","SCALING_FORMAT=MLN","Sort=A","Dates=H","DateFormat=P","Fill=—","Direction=H","UseDPDF=Y")</f>
        <v>221010</v>
      </c>
      <c r="AI49" s="16">
        <f>_xll.BDH("XOM US Equity","TOT_LIAB_AND_EQY","FQ3 2006","FQ3 2006","Currency=USD","Period=FQ","BEST_FPERIOD_OVERRIDE=FQ","FILING_STATUS=OR","SCALING_FORMAT=MLN","Sort=A","Dates=H","DateFormat=P","Fill=—","Direction=H","UseDPDF=Y")</f>
        <v>223947</v>
      </c>
      <c r="AJ49" s="16">
        <f>_xll.BDH("XOM US Equity","TOT_LIAB_AND_EQY","FQ4 2006","FQ4 2006","Currency=USD","Period=FQ","BEST_FPERIOD_OVERRIDE=FQ","FILING_STATUS=OR","SCALING_FORMAT=MLN","Sort=A","Dates=H","DateFormat=P","Fill=—","Direction=H","UseDPDF=Y")</f>
        <v>222819</v>
      </c>
      <c r="AK49" s="16">
        <f>_xll.BDH("XOM US Equity","TOT_LIAB_AND_EQY","FQ1 2007","FQ1 2007","Currency=USD","Period=FQ","BEST_FPERIOD_OVERRIDE=FQ","FILING_STATUS=OR","SCALING_FORMAT=MLN","Sort=A","Dates=H","DateFormat=P","Fill=—","Direction=H","UseDPDF=Y")</f>
        <v>223299</v>
      </c>
      <c r="AL49" s="16">
        <f>_xll.BDH("XOM US Equity","TOT_LIAB_AND_EQY","FQ2 2007","FQ2 2007","Currency=USD","Period=FQ","BEST_FPERIOD_OVERRIDE=FQ","FILING_STATUS=OR","SCALING_FORMAT=MLN","Sort=A","Dates=H","DateFormat=P","Fill=—","Direction=H","UseDPDF=Y")</f>
        <v>228315</v>
      </c>
      <c r="AM49" s="16">
        <f>_xll.BDH("XOM US Equity","TOT_LIAB_AND_EQY","FQ3 2007","FQ3 2007","Currency=USD","Period=FQ","BEST_FPERIOD_OVERRIDE=FQ","FILING_STATUS=OR","SCALING_FORMAT=MLN","Sort=A","Dates=H","DateFormat=P","Fill=—","Direction=H","UseDPDF=Y")</f>
        <v>236661</v>
      </c>
      <c r="AN49" s="16">
        <f>_xll.BDH("XOM US Equity","TOT_LIAB_AND_EQY","FQ4 2007","FQ4 2007","Currency=USD","Period=FQ","BEST_FPERIOD_OVERRIDE=FQ","FILING_STATUS=OR","SCALING_FORMAT=MLN","Sort=A","Dates=H","DateFormat=P","Fill=—","Direction=H","UseDPDF=Y")</f>
        <v>242082</v>
      </c>
      <c r="AO49" s="16">
        <f>_xll.BDH("XOM US Equity","TOT_LIAB_AND_EQY","FQ1 2008","FQ1 2008","Currency=USD","Period=FQ","BEST_FPERIOD_OVERRIDE=FQ","FILING_STATUS=OR","SCALING_FORMAT=MLN","Sort=A","Dates=H","DateFormat=P","Fill=—","Direction=H","UseDPDF=Y")</f>
        <v>258202</v>
      </c>
      <c r="AP49" s="16">
        <f>_xll.BDH("XOM US Equity","TOT_LIAB_AND_EQY","FQ2 2008","FQ2 2008","Currency=USD","Period=FQ","BEST_FPERIOD_OVERRIDE=FQ","FILING_STATUS=OR","SCALING_FORMAT=MLN","Sort=A","Dates=H","DateFormat=P","Fill=—","Direction=H","UseDPDF=Y")</f>
        <v>266758</v>
      </c>
    </row>
    <row r="50" spans="1:42" x14ac:dyDescent="0.25">
      <c r="A50" s="6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1:42" x14ac:dyDescent="0.25">
      <c r="A51" s="6" t="s">
        <v>3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spans="1:42" x14ac:dyDescent="0.25">
      <c r="A52" s="10" t="s">
        <v>149</v>
      </c>
      <c r="B52" s="10" t="s">
        <v>150</v>
      </c>
      <c r="C52" s="12" t="s">
        <v>151</v>
      </c>
      <c r="D52" s="12" t="s">
        <v>151</v>
      </c>
      <c r="E52" s="12" t="s">
        <v>151</v>
      </c>
      <c r="F52" s="12" t="s">
        <v>151</v>
      </c>
      <c r="G52" s="12" t="s">
        <v>151</v>
      </c>
      <c r="H52" s="12" t="s">
        <v>151</v>
      </c>
      <c r="I52" s="12" t="s">
        <v>151</v>
      </c>
      <c r="J52" s="12" t="s">
        <v>151</v>
      </c>
      <c r="K52" s="12" t="s">
        <v>151</v>
      </c>
      <c r="L52" s="12" t="s">
        <v>152</v>
      </c>
      <c r="M52" s="12" t="s">
        <v>151</v>
      </c>
      <c r="N52" s="12" t="s">
        <v>151</v>
      </c>
      <c r="O52" s="12" t="s">
        <v>151</v>
      </c>
      <c r="P52" s="12" t="s">
        <v>152</v>
      </c>
      <c r="Q52" s="12" t="s">
        <v>151</v>
      </c>
      <c r="R52" s="12" t="s">
        <v>151</v>
      </c>
      <c r="S52" s="12" t="s">
        <v>151</v>
      </c>
      <c r="T52" s="12" t="s">
        <v>151</v>
      </c>
      <c r="U52" s="12" t="s">
        <v>151</v>
      </c>
      <c r="V52" s="12" t="s">
        <v>151</v>
      </c>
      <c r="W52" s="12" t="s">
        <v>151</v>
      </c>
      <c r="X52" s="12" t="s">
        <v>151</v>
      </c>
      <c r="Y52" s="12" t="s">
        <v>151</v>
      </c>
      <c r="Z52" s="12" t="s">
        <v>151</v>
      </c>
      <c r="AA52" s="12" t="s">
        <v>151</v>
      </c>
      <c r="AB52" s="12" t="s">
        <v>151</v>
      </c>
      <c r="AC52" s="12" t="s">
        <v>151</v>
      </c>
      <c r="AD52" s="12" t="s">
        <v>151</v>
      </c>
      <c r="AE52" s="12" t="s">
        <v>151</v>
      </c>
      <c r="AF52" s="12" t="s">
        <v>151</v>
      </c>
      <c r="AG52" s="12" t="s">
        <v>151</v>
      </c>
      <c r="AH52" s="12" t="s">
        <v>151</v>
      </c>
      <c r="AI52" s="12" t="s">
        <v>151</v>
      </c>
      <c r="AJ52" s="12" t="s">
        <v>151</v>
      </c>
      <c r="AK52" s="12" t="s">
        <v>151</v>
      </c>
      <c r="AL52" s="12" t="s">
        <v>151</v>
      </c>
      <c r="AM52" s="12" t="s">
        <v>151</v>
      </c>
      <c r="AN52" s="12" t="s">
        <v>151</v>
      </c>
      <c r="AO52" s="12" t="s">
        <v>151</v>
      </c>
      <c r="AP52" s="12" t="s">
        <v>151</v>
      </c>
    </row>
    <row r="53" spans="1:42" x14ac:dyDescent="0.25">
      <c r="A53" s="10" t="s">
        <v>259</v>
      </c>
      <c r="B53" s="10" t="s">
        <v>260</v>
      </c>
      <c r="C53" s="13">
        <f>_xll.BDH("XOM US Equity","BS_SH_OUT","FQ3 1998","FQ3 1998","Currency=USD","Period=FQ","BEST_FPERIOD_OVERRIDE=FQ","FILING_STATUS=OR","Sort=A","Dates=H","DateFormat=P","Fill=—","Direction=H","UseDPDF=Y")</f>
        <v>4862.46</v>
      </c>
      <c r="D53" s="13">
        <f>_xll.BDH("XOM US Equity","BS_SH_OUT","FQ4 1998","FQ4 1998","Currency=USD","Period=FQ","BEST_FPERIOD_OVERRIDE=FQ","FILING_STATUS=OR","Sort=A","Dates=H","DateFormat=P","Fill=—","Direction=H","UseDPDF=Y")</f>
        <v>4856</v>
      </c>
      <c r="E53" s="13">
        <f>_xll.BDH("XOM US Equity","BS_SH_OUT","FQ1 1999","FQ1 1999","Currency=USD","Period=FQ","BEST_FPERIOD_OVERRIDE=FQ","FILING_STATUS=OR","Sort=A","Dates=H","DateFormat=P","Fill=—","Direction=H","UseDPDF=Y")</f>
        <v>4855.5708000000004</v>
      </c>
      <c r="F53" s="13">
        <f>_xll.BDH("XOM US Equity","BS_SH_OUT","FQ2 1999","FQ2 1999","Currency=USD","Period=FQ","BEST_FPERIOD_OVERRIDE=FQ","FILING_STATUS=OR","Sort=A","Dates=H","DateFormat=P","Fill=—","Direction=H","UseDPDF=Y")</f>
        <v>4856</v>
      </c>
      <c r="G53" s="13">
        <f>_xll.BDH("XOM US Equity","BS_SH_OUT","FQ3 1999","FQ3 1999","Currency=USD","Period=FQ","BEST_FPERIOD_OVERRIDE=FQ","FILING_STATUS=OR","Sort=A","Dates=H","DateFormat=P","Fill=—","Direction=H","UseDPDF=Y")</f>
        <v>4855.57</v>
      </c>
      <c r="H53" s="13">
        <f>_xll.BDH("XOM US Equity","BS_SH_OUT","FQ4 1999","FQ4 1999","Currency=USD","Period=FQ","BEST_FPERIOD_OVERRIDE=FQ","FILING_STATUS=OR","Sort=A","Dates=H","DateFormat=P","Fill=—","Direction=H","UseDPDF=Y")</f>
        <v>6954</v>
      </c>
      <c r="I53" s="13">
        <f>_xll.BDH("XOM US Equity","BS_SH_OUT","FQ1 2000","FQ1 2000","Currency=USD","Period=FQ","BEST_FPERIOD_OVERRIDE=FQ","FILING_STATUS=OR","Sort=A","Dates=H","DateFormat=P","Fill=—","Direction=H","UseDPDF=Y")</f>
        <v>6962.2520000000004</v>
      </c>
      <c r="J53" s="13">
        <f>_xll.BDH("XOM US Equity","BS_SH_OUT","FQ2 2000","FQ2 2000","Currency=USD","Period=FQ","BEST_FPERIOD_OVERRIDE=FQ","FILING_STATUS=OR","Sort=A","Dates=H","DateFormat=P","Fill=—","Direction=H","UseDPDF=Y")</f>
        <v>6967.6819999999998</v>
      </c>
      <c r="K53" s="13">
        <f>_xll.BDH("XOM US Equity","BS_SH_OUT","FQ3 2000","FQ3 2000","Currency=USD","Period=FQ","BEST_FPERIOD_OVERRIDE=FQ","FILING_STATUS=OR","Sort=A","Dates=H","DateFormat=P","Fill=—","Direction=H","UseDPDF=Y")</f>
        <v>6952</v>
      </c>
      <c r="L53" s="13">
        <f>_xll.BDH("XOM US Equity","BS_SH_OUT","FQ4 2000","FQ4 2000","Currency=USD","Period=FQ","BEST_FPERIOD_OVERRIDE=FQ","FILING_STATUS=OR","Sort=A","Dates=H","DateFormat=P","Fill=—","Direction=H","UseDPDF=Y")</f>
        <v>6930</v>
      </c>
      <c r="M53" s="13">
        <f>_xll.BDH("XOM US Equity","BS_SH_OUT","FQ1 2001","FQ1 2001","Currency=USD","Period=FQ","BEST_FPERIOD_OVERRIDE=FQ","FILING_STATUS=OR","Sort=A","Dates=H","DateFormat=P","Fill=—","Direction=H","UseDPDF=Y")</f>
        <v>6900</v>
      </c>
      <c r="N53" s="13">
        <f>_xll.BDH("XOM US Equity","BS_SH_OUT","FQ2 2001","FQ2 2001","Currency=USD","Period=FQ","BEST_FPERIOD_OVERRIDE=FQ","FILING_STATUS=OR","Sort=A","Dates=H","DateFormat=P","Fill=—","Direction=H","UseDPDF=Y")</f>
        <v>6835.0789999999997</v>
      </c>
      <c r="O53" s="13">
        <f>_xll.BDH("XOM US Equity","BS_SH_OUT","FQ3 2001","FQ3 2001","Currency=USD","Period=FQ","BEST_FPERIOD_OVERRIDE=FQ","FILING_STATUS=OR","Sort=A","Dates=H","DateFormat=P","Fill=—","Direction=H","UseDPDF=Y")</f>
        <v>6840</v>
      </c>
      <c r="P53" s="13">
        <f>_xll.BDH("XOM US Equity","BS_SH_OUT","FQ4 2001","FQ4 2001","Currency=USD","Period=FQ","BEST_FPERIOD_OVERRIDE=FQ","FILING_STATUS=OR","Sort=A","Dates=H","DateFormat=P","Fill=—","Direction=H","UseDPDF=Y")</f>
        <v>6809</v>
      </c>
      <c r="Q53" s="13">
        <f>_xll.BDH("XOM US Equity","BS_SH_OUT","FQ1 2002","FQ1 2002","Currency=USD","Period=FQ","BEST_FPERIOD_OVERRIDE=FQ","FILING_STATUS=OR","Sort=A","Dates=H","DateFormat=P","Fill=—","Direction=H","UseDPDF=Y")</f>
        <v>6782</v>
      </c>
      <c r="R53" s="13">
        <f>_xll.BDH("XOM US Equity","BS_SH_OUT","FQ2 2002","FQ2 2002","Currency=USD","Period=FQ","BEST_FPERIOD_OVERRIDE=FQ","FILING_STATUS=OR","Sort=A","Dates=H","DateFormat=P","Fill=—","Direction=H","UseDPDF=Y")</f>
        <v>6757</v>
      </c>
      <c r="S53" s="13">
        <f>_xll.BDH("XOM US Equity","BS_SH_OUT","FQ3 2002","FQ3 2002","Currency=USD","Period=FQ","BEST_FPERIOD_OVERRIDE=FQ","FILING_STATUS=OR","Sort=A","Dates=H","DateFormat=P","Fill=—","Direction=H","UseDPDF=Y")</f>
        <v>6729</v>
      </c>
      <c r="T53" s="13">
        <f>_xll.BDH("XOM US Equity","BS_SH_OUT","FQ4 2002","FQ4 2002","Currency=USD","Period=FQ","BEST_FPERIOD_OVERRIDE=FQ","FILING_STATUS=OR","Sort=A","Dates=H","DateFormat=P","Fill=—","Direction=H","UseDPDF=Y")</f>
        <v>6700</v>
      </c>
      <c r="U53" s="13">
        <f>_xll.BDH("XOM US Equity","BS_SH_OUT","FQ1 2003","FQ1 2003","Currency=USD","Period=FQ","BEST_FPERIOD_OVERRIDE=FQ","FILING_STATUS=OR","Sort=A","Dates=H","DateFormat=P","Fill=—","Direction=H","UseDPDF=Y")</f>
        <v>6679.3909999999996</v>
      </c>
      <c r="V53" s="13">
        <f>_xll.BDH("XOM US Equity","BS_SH_OUT","FQ2 2003","FQ2 2003","Currency=USD","Period=FQ","BEST_FPERIOD_OVERRIDE=FQ","FILING_STATUS=OR","Sort=A","Dates=H","DateFormat=P","Fill=—","Direction=H","UseDPDF=Y")</f>
        <v>6652</v>
      </c>
      <c r="W53" s="13">
        <f>_xll.BDH("XOM US Equity","BS_SH_OUT","FQ3 2003","FQ3 2003","Currency=USD","Period=FQ","BEST_FPERIOD_OVERRIDE=FQ","FILING_STATUS=OR","Sort=A","Dates=H","DateFormat=P","Fill=—","Direction=H","UseDPDF=Y")</f>
        <v>6609</v>
      </c>
      <c r="X53" s="13">
        <f>_xll.BDH("XOM US Equity","BS_SH_OUT","FQ4 2003","FQ4 2003","Currency=USD","Period=FQ","BEST_FPERIOD_OVERRIDE=FQ","FILING_STATUS=OR","Sort=A","Dates=H","DateFormat=P","Fill=—","Direction=H","UseDPDF=Y")</f>
        <v>6568</v>
      </c>
      <c r="Y53" s="13">
        <f>_xll.BDH("XOM US Equity","BS_SH_OUT","FQ1 2004","FQ1 2004","Currency=USD","Period=FQ","BEST_FPERIOD_OVERRIDE=FQ","FILING_STATUS=OR","Sort=A","Dates=H","DateFormat=P","Fill=—","Direction=H","UseDPDF=Y")</f>
        <v>6540.0450000000001</v>
      </c>
      <c r="Z53" s="13">
        <f>_xll.BDH("XOM US Equity","BS_SH_OUT","FQ2 2004","FQ2 2004","Currency=USD","Period=FQ","BEST_FPERIOD_OVERRIDE=FQ","FILING_STATUS=OR","Sort=A","Dates=H","DateFormat=P","Fill=—","Direction=H","UseDPDF=Y")</f>
        <v>6505.5070999999998</v>
      </c>
      <c r="AA53" s="13">
        <f>_xll.BDH("XOM US Equity","BS_SH_OUT","FQ3 2004","FQ3 2004","Currency=USD","Period=FQ","BEST_FPERIOD_OVERRIDE=FQ","FILING_STATUS=OR","Sort=A","Dates=H","DateFormat=P","Fill=—","Direction=H","UseDPDF=Y")</f>
        <v>6451.2950000000001</v>
      </c>
      <c r="AB53" s="13">
        <f>_xll.BDH("XOM US Equity","BS_SH_OUT","FQ4 2004","FQ4 2004","Currency=USD","Period=FQ","BEST_FPERIOD_OVERRIDE=FQ","FILING_STATUS=OR","Sort=A","Dates=H","DateFormat=P","Fill=—","Direction=H","UseDPDF=Y")</f>
        <v>6401</v>
      </c>
      <c r="AC53" s="13">
        <f>_xll.BDH("XOM US Equity","BS_SH_OUT","FQ1 2005","FQ1 2005","Currency=USD","Period=FQ","BEST_FPERIOD_OVERRIDE=FQ","FILING_STATUS=OR","Sort=A","Dates=H","DateFormat=P","Fill=—","Direction=H","UseDPDF=Y")</f>
        <v>6365.7344999999996</v>
      </c>
      <c r="AD53" s="13">
        <f>_xll.BDH("XOM US Equity","BS_SH_OUT","FQ2 2005","FQ2 2005","Currency=USD","Period=FQ","BEST_FPERIOD_OVERRIDE=FQ","FILING_STATUS=OR","Sort=A","Dates=H","DateFormat=P","Fill=—","Direction=H","UseDPDF=Y")</f>
        <v>6305.1315999999997</v>
      </c>
      <c r="AE53" s="13">
        <f>_xll.BDH("XOM US Equity","BS_SH_OUT","FQ3 2005","FQ3 2005","Currency=USD","Period=FQ","BEST_FPERIOD_OVERRIDE=FQ","FILING_STATUS=OR","Sort=A","Dates=H","DateFormat=P","Fill=—","Direction=H","UseDPDF=Y")</f>
        <v>6222.3957</v>
      </c>
      <c r="AF53" s="13">
        <f>_xll.BDH("XOM US Equity","BS_SH_OUT","FQ4 2005","FQ4 2005","Currency=USD","Period=FQ","BEST_FPERIOD_OVERRIDE=FQ","FILING_STATUS=OR","Sort=A","Dates=H","DateFormat=P","Fill=—","Direction=H","UseDPDF=Y")</f>
        <v>6133</v>
      </c>
      <c r="AG53" s="13">
        <f>_xll.BDH("XOM US Equity","BS_SH_OUT","FQ1 2006","FQ1 2006","Currency=USD","Period=FQ","BEST_FPERIOD_OVERRIDE=FQ","FILING_STATUS=OR","Sort=A","Dates=H","DateFormat=P","Fill=—","Direction=H","UseDPDF=Y")</f>
        <v>6050</v>
      </c>
      <c r="AH53" s="13">
        <f>_xll.BDH("XOM US Equity","BS_SH_OUT","FQ2 2006","FQ2 2006","Currency=USD","Period=FQ","BEST_FPERIOD_OVERRIDE=FQ","FILING_STATUS=OR","Sort=A","Dates=H","DateFormat=P","Fill=—","Direction=H","UseDPDF=Y")</f>
        <v>5945</v>
      </c>
      <c r="AI53" s="13">
        <f>_xll.BDH("XOM US Equity","BS_SH_OUT","FQ3 2006","FQ3 2006","Currency=USD","Period=FQ","BEST_FPERIOD_OVERRIDE=FQ","FILING_STATUS=OR","Sort=A","Dates=H","DateFormat=P","Fill=—","Direction=H","UseDPDF=Y")</f>
        <v>5832</v>
      </c>
      <c r="AJ53" s="13">
        <f>_xll.BDH("XOM US Equity","BS_SH_OUT","FQ4 2006","FQ4 2006","Currency=USD","Period=FQ","BEST_FPERIOD_OVERRIDE=FQ","FILING_STATUS=OR","Sort=A","Dates=H","DateFormat=P","Fill=—","Direction=H","UseDPDF=Y")</f>
        <v>5729</v>
      </c>
      <c r="AK53" s="13">
        <f>_xll.BDH("XOM US Equity","BS_SH_OUT","FQ1 2007","FQ1 2007","Currency=USD","Period=FQ","BEST_FPERIOD_OVERRIDE=FQ","FILING_STATUS=OR","Sort=A","Dates=H","DateFormat=P","Fill=—","Direction=H","UseDPDF=Y")</f>
        <v>5633</v>
      </c>
      <c r="AL53" s="13">
        <f>_xll.BDH("XOM US Equity","BS_SH_OUT","FQ2 2007","FQ2 2007","Currency=USD","Period=FQ","BEST_FPERIOD_OVERRIDE=FQ","FILING_STATUS=OR","Sort=A","Dates=H","DateFormat=P","Fill=—","Direction=H","UseDPDF=Y")</f>
        <v>5546</v>
      </c>
      <c r="AM53" s="13">
        <f>_xll.BDH("XOM US Equity","BS_SH_OUT","FQ3 2007","FQ3 2007","Currency=USD","Period=FQ","BEST_FPERIOD_OVERRIDE=FQ","FILING_STATUS=OR","Sort=A","Dates=H","DateFormat=P","Fill=—","Direction=H","UseDPDF=Y")</f>
        <v>5463</v>
      </c>
      <c r="AN53" s="13">
        <f>_xll.BDH("XOM US Equity","BS_SH_OUT","FQ4 2007","FQ4 2007","Currency=USD","Period=FQ","BEST_FPERIOD_OVERRIDE=FQ","FILING_STATUS=OR","Sort=A","Dates=H","DateFormat=P","Fill=—","Direction=H","UseDPDF=Y")</f>
        <v>5382</v>
      </c>
      <c r="AO53" s="13">
        <f>_xll.BDH("XOM US Equity","BS_SH_OUT","FQ1 2008","FQ1 2008","Currency=USD","Period=FQ","BEST_FPERIOD_OVERRIDE=FQ","FILING_STATUS=OR","Sort=A","Dates=H","DateFormat=P","Fill=—","Direction=H","UseDPDF=Y")</f>
        <v>5283</v>
      </c>
      <c r="AP53" s="13">
        <f>_xll.BDH("XOM US Equity","BS_SH_OUT","FQ2 2008","FQ2 2008","Currency=USD","Period=FQ","BEST_FPERIOD_OVERRIDE=FQ","FILING_STATUS=OR","Sort=A","Dates=H","DateFormat=P","Fill=—","Direction=H","UseDPDF=Y")</f>
        <v>5194</v>
      </c>
    </row>
    <row r="54" spans="1:42" x14ac:dyDescent="0.25">
      <c r="A54" s="10" t="s">
        <v>261</v>
      </c>
      <c r="B54" s="10" t="s">
        <v>262</v>
      </c>
      <c r="C54" s="13">
        <f>_xll.BDH("XOM US Equity","BS_NUM_OF_TSY_SH","FQ3 1998","FQ3 1998","Currency=USD","Period=FQ","BEST_FPERIOD_OVERRIDE=FQ","FILING_STATUS=OR","Sort=A","Dates=H","DateFormat=P","Fill=—","Direction=H","UseDPDF=Y")</f>
        <v>1106</v>
      </c>
      <c r="D54" s="13">
        <f>_xll.BDH("XOM US Equity","BS_NUM_OF_TSY_SH","FQ4 1998","FQ4 1998","Currency=USD","Period=FQ","BEST_FPERIOD_OVERRIDE=FQ","FILING_STATUS=OR","Sort=A","Dates=H","DateFormat=P","Fill=—","Direction=H","UseDPDF=Y")</f>
        <v>1112</v>
      </c>
      <c r="E54" s="13">
        <f>_xll.BDH("XOM US Equity","BS_NUM_OF_TSY_SH","FQ1 1999","FQ1 1999","Currency=USD","Period=FQ","BEST_FPERIOD_OVERRIDE=FQ","FILING_STATUS=OR","Sort=A","Dates=H","DateFormat=P","Fill=—","Direction=H","UseDPDF=Y")</f>
        <v>1112</v>
      </c>
      <c r="F54" s="13">
        <f>_xll.BDH("XOM US Equity","BS_NUM_OF_TSY_SH","FQ2 1999","FQ2 1999","Currency=USD","Period=FQ","BEST_FPERIOD_OVERRIDE=FQ","FILING_STATUS=OR","Sort=A","Dates=H","DateFormat=P","Fill=—","Direction=H","UseDPDF=Y")</f>
        <v>1112</v>
      </c>
      <c r="G54" s="13">
        <f>_xll.BDH("XOM US Equity","BS_NUM_OF_TSY_SH","FQ3 1999","FQ3 1999","Currency=USD","Period=FQ","BEST_FPERIOD_OVERRIDE=FQ","FILING_STATUS=OR","Sort=A","Dates=H","DateFormat=P","Fill=—","Direction=H","UseDPDF=Y")</f>
        <v>1112</v>
      </c>
      <c r="H54" s="13">
        <f>_xll.BDH("XOM US Equity","BS_NUM_OF_TSY_SH","FQ4 1999","FQ4 1999","Currency=USD","Period=FQ","BEST_FPERIOD_OVERRIDE=FQ","FILING_STATUS=OR","Sort=A","Dates=H","DateFormat=P","Fill=—","Direction=H","UseDPDF=Y")</f>
        <v>1066</v>
      </c>
      <c r="I54" s="13">
        <f>_xll.BDH("XOM US Equity","BS_NUM_OF_TSY_SH","FQ1 2000","FQ1 2000","Currency=USD","Period=FQ","BEST_FPERIOD_OVERRIDE=FQ","FILING_STATUS=OR","Sort=A","Dates=H","DateFormat=P","Fill=—","Direction=H","UseDPDF=Y")</f>
        <v>1058</v>
      </c>
      <c r="J54" s="13">
        <f>_xll.BDH("XOM US Equity","BS_NUM_OF_TSY_SH","FQ2 2000","FQ2 2000","Currency=USD","Period=FQ","BEST_FPERIOD_OVERRIDE=FQ","FILING_STATUS=OR","Sort=A","Dates=H","DateFormat=P","Fill=—","Direction=H","UseDPDF=Y")</f>
        <v>1052</v>
      </c>
      <c r="K54" s="13">
        <f>_xll.BDH("XOM US Equity","BS_NUM_OF_TSY_SH","FQ3 2000","FQ3 2000","Currency=USD","Period=FQ","BEST_FPERIOD_OVERRIDE=FQ","FILING_STATUS=OR","Sort=A","Dates=H","DateFormat=P","Fill=—","Direction=H","UseDPDF=Y")</f>
        <v>1068</v>
      </c>
      <c r="L54" s="13">
        <f>_xll.BDH("XOM US Equity","BS_NUM_OF_TSY_SH","FQ4 2000","FQ4 2000","Currency=USD","Period=FQ","BEST_FPERIOD_OVERRIDE=FQ","FILING_STATUS=OR","Sort=A","Dates=H","DateFormat=P","Fill=—","Direction=H","UseDPDF=Y")</f>
        <v>1090</v>
      </c>
      <c r="M54" s="13">
        <f>_xll.BDH("XOM US Equity","BS_NUM_OF_TSY_SH","FQ1 2001","FQ1 2001","Currency=USD","Period=FQ","BEST_FPERIOD_OVERRIDE=FQ","FILING_STATUS=OR","Sort=A","Dates=H","DateFormat=P","Fill=—","Direction=H","UseDPDF=Y")</f>
        <v>1120</v>
      </c>
      <c r="N54" s="13">
        <f>_xll.BDH("XOM US Equity","BS_NUM_OF_TSY_SH","FQ2 2001","FQ2 2001","Currency=USD","Period=FQ","BEST_FPERIOD_OVERRIDE=FQ","FILING_STATUS=OR","Sort=A","Dates=H","DateFormat=P","Fill=—","Direction=H","UseDPDF=Y")</f>
        <v>2296</v>
      </c>
      <c r="O54" s="13">
        <f>_xll.BDH("XOM US Equity","BS_NUM_OF_TSY_SH","FQ3 2001","FQ3 2001","Currency=USD","Period=FQ","BEST_FPERIOD_OVERRIDE=FQ","FILING_STATUS=OR","Sort=A","Dates=H","DateFormat=P","Fill=—","Direction=H","UseDPDF=Y")</f>
        <v>1179</v>
      </c>
      <c r="P54" s="13">
        <f>_xll.BDH("XOM US Equity","BS_NUM_OF_TSY_SH","FQ4 2001","FQ4 2001","Currency=USD","Period=FQ","BEST_FPERIOD_OVERRIDE=FQ","FILING_STATUS=OR","Sort=A","Dates=H","DateFormat=P","Fill=—","Direction=H","UseDPDF=Y")</f>
        <v>1210</v>
      </c>
      <c r="Q54" s="13">
        <f>_xll.BDH("XOM US Equity","BS_NUM_OF_TSY_SH","FQ1 2002","FQ1 2002","Currency=USD","Period=FQ","BEST_FPERIOD_OVERRIDE=FQ","FILING_STATUS=OR","Sort=A","Dates=H","DateFormat=P","Fill=—","Direction=H","UseDPDF=Y")</f>
        <v>1237</v>
      </c>
      <c r="R54" s="13">
        <f>_xll.BDH("XOM US Equity","BS_NUM_OF_TSY_SH","FQ2 2002","FQ2 2002","Currency=USD","Period=FQ","BEST_FPERIOD_OVERRIDE=FQ","FILING_STATUS=OR","Sort=A","Dates=H","DateFormat=P","Fill=—","Direction=H","UseDPDF=Y")</f>
        <v>1262</v>
      </c>
      <c r="S54" s="13">
        <f>_xll.BDH("XOM US Equity","BS_NUM_OF_TSY_SH","FQ3 2002","FQ3 2002","Currency=USD","Period=FQ","BEST_FPERIOD_OVERRIDE=FQ","FILING_STATUS=OR","Sort=A","Dates=H","DateFormat=P","Fill=—","Direction=H","UseDPDF=Y")</f>
        <v>1290</v>
      </c>
      <c r="T54" s="13">
        <f>_xll.BDH("XOM US Equity","BS_NUM_OF_TSY_SH","FQ4 2002","FQ4 2002","Currency=USD","Period=FQ","BEST_FPERIOD_OVERRIDE=FQ","FILING_STATUS=OR","Sort=A","Dates=H","DateFormat=P","Fill=—","Direction=H","UseDPDF=Y")</f>
        <v>1319</v>
      </c>
      <c r="U54" s="13">
        <f>_xll.BDH("XOM US Equity","BS_NUM_OF_TSY_SH","FQ1 2003","FQ1 2003","Currency=USD","Period=FQ","BEST_FPERIOD_OVERRIDE=FQ","FILING_STATUS=OR","Sort=A","Dates=H","DateFormat=P","Fill=—","Direction=H","UseDPDF=Y")</f>
        <v>1340</v>
      </c>
      <c r="V54" s="13">
        <f>_xll.BDH("XOM US Equity","BS_NUM_OF_TSY_SH","FQ2 2003","FQ2 2003","Currency=USD","Period=FQ","BEST_FPERIOD_OVERRIDE=FQ","FILING_STATUS=OR","Sort=A","Dates=H","DateFormat=P","Fill=—","Direction=H","UseDPDF=Y")</f>
        <v>1367</v>
      </c>
      <c r="W54" s="13">
        <f>_xll.BDH("XOM US Equity","BS_NUM_OF_TSY_SH","FQ3 2003","FQ3 2003","Currency=USD","Period=FQ","BEST_FPERIOD_OVERRIDE=FQ","FILING_STATUS=OR","Sort=A","Dates=H","DateFormat=P","Fill=—","Direction=H","UseDPDF=Y")</f>
        <v>1410</v>
      </c>
      <c r="X54" s="13">
        <f>_xll.BDH("XOM US Equity","BS_NUM_OF_TSY_SH","FQ4 2003","FQ4 2003","Currency=USD","Period=FQ","BEST_FPERIOD_OVERRIDE=FQ","FILING_STATUS=OR","Sort=A","Dates=H","DateFormat=P","Fill=—","Direction=H","UseDPDF=Y")</f>
        <v>1451</v>
      </c>
      <c r="Y54" s="13">
        <f>_xll.BDH("XOM US Equity","BS_NUM_OF_TSY_SH","FQ1 2004","FQ1 2004","Currency=USD","Period=FQ","BEST_FPERIOD_OVERRIDE=FQ","FILING_STATUS=OR","Sort=A","Dates=H","DateFormat=P","Fill=—","Direction=H","UseDPDF=Y")</f>
        <v>1479</v>
      </c>
      <c r="Z54" s="13">
        <f>_xll.BDH("XOM US Equity","BS_NUM_OF_TSY_SH","FQ2 2004","FQ2 2004","Currency=USD","Period=FQ","BEST_FPERIOD_OVERRIDE=FQ","FILING_STATUS=OR","Sort=A","Dates=H","DateFormat=P","Fill=—","Direction=H","UseDPDF=Y")</f>
        <v>1513</v>
      </c>
      <c r="AA54" s="13">
        <f>_xll.BDH("XOM US Equity","BS_NUM_OF_TSY_SH","FQ3 2004","FQ3 2004","Currency=USD","Period=FQ","BEST_FPERIOD_OVERRIDE=FQ","FILING_STATUS=OR","Sort=A","Dates=H","DateFormat=P","Fill=—","Direction=H","UseDPDF=Y")</f>
        <v>1568</v>
      </c>
      <c r="AB54" s="13">
        <f>_xll.BDH("XOM US Equity","BS_NUM_OF_TSY_SH","FQ4 2004","FQ4 2004","Currency=USD","Period=FQ","BEST_FPERIOD_OVERRIDE=FQ","FILING_STATUS=OR","Sort=A","Dates=H","DateFormat=P","Fill=—","Direction=H","UseDPDF=Y")</f>
        <v>1618</v>
      </c>
      <c r="AC54" s="13">
        <f>_xll.BDH("XOM US Equity","BS_NUM_OF_TSY_SH","FQ1 2005","FQ1 2005","Currency=USD","Period=FQ","BEST_FPERIOD_OVERRIDE=FQ","FILING_STATUS=OR","Sort=A","Dates=H","DateFormat=P","Fill=—","Direction=H","UseDPDF=Y")</f>
        <v>1654</v>
      </c>
      <c r="AD54" s="13">
        <f>_xll.BDH("XOM US Equity","BS_NUM_OF_TSY_SH","FQ2 2005","FQ2 2005","Currency=USD","Period=FQ","BEST_FPERIOD_OVERRIDE=FQ","FILING_STATUS=OR","Sort=A","Dates=H","DateFormat=P","Fill=—","Direction=H","UseDPDF=Y")</f>
        <v>1714</v>
      </c>
      <c r="AE54" s="13">
        <f>_xll.BDH("XOM US Equity","BS_NUM_OF_TSY_SH","FQ3 2005","FQ3 2005","Currency=USD","Period=FQ","BEST_FPERIOD_OVERRIDE=FQ","FILING_STATUS=OR","Sort=A","Dates=H","DateFormat=P","Fill=—","Direction=H","UseDPDF=Y")</f>
        <v>1797</v>
      </c>
      <c r="AF54" s="13">
        <f>_xll.BDH("XOM US Equity","BS_NUM_OF_TSY_SH","FQ4 2005","FQ4 2005","Currency=USD","Period=FQ","BEST_FPERIOD_OVERRIDE=FQ","FILING_STATUS=OR","Sort=A","Dates=H","DateFormat=P","Fill=—","Direction=H","UseDPDF=Y")</f>
        <v>1886</v>
      </c>
      <c r="AG54" s="13">
        <f>_xll.BDH("XOM US Equity","BS_NUM_OF_TSY_SH","FQ1 2006","FQ1 2006","Currency=USD","Period=FQ","BEST_FPERIOD_OVERRIDE=FQ","FILING_STATUS=OR","Sort=A","Dates=H","DateFormat=P","Fill=—","Direction=H","UseDPDF=Y")</f>
        <v>1969</v>
      </c>
      <c r="AH54" s="13">
        <f>_xll.BDH("XOM US Equity","BS_NUM_OF_TSY_SH","FQ2 2006","FQ2 2006","Currency=USD","Period=FQ","BEST_FPERIOD_OVERRIDE=FQ","FILING_STATUS=OR","Sort=A","Dates=H","DateFormat=P","Fill=—","Direction=H","UseDPDF=Y")</f>
        <v>2074</v>
      </c>
      <c r="AI54" s="13">
        <f>_xll.BDH("XOM US Equity","BS_NUM_OF_TSY_SH","FQ3 2006","FQ3 2006","Currency=USD","Period=FQ","BEST_FPERIOD_OVERRIDE=FQ","FILING_STATUS=OR","Sort=A","Dates=H","DateFormat=P","Fill=—","Direction=H","UseDPDF=Y")</f>
        <v>2187</v>
      </c>
      <c r="AJ54" s="13">
        <f>_xll.BDH("XOM US Equity","BS_NUM_OF_TSY_SH","FQ4 2006","FQ4 2006","Currency=USD","Period=FQ","BEST_FPERIOD_OVERRIDE=FQ","FILING_STATUS=OR","Sort=A","Dates=H","DateFormat=P","Fill=—","Direction=H","UseDPDF=Y")</f>
        <v>2290</v>
      </c>
      <c r="AK54" s="13">
        <f>_xll.BDH("XOM US Equity","BS_NUM_OF_TSY_SH","FQ1 2007","FQ1 2007","Currency=USD","Period=FQ","BEST_FPERIOD_OVERRIDE=FQ","FILING_STATUS=OR","Sort=A","Dates=H","DateFormat=P","Fill=—","Direction=H","UseDPDF=Y")</f>
        <v>2386</v>
      </c>
      <c r="AL54" s="13">
        <f>_xll.BDH("XOM US Equity","BS_NUM_OF_TSY_SH","FQ2 2007","FQ2 2007","Currency=USD","Period=FQ","BEST_FPERIOD_OVERRIDE=FQ","FILING_STATUS=OR","Sort=A","Dates=H","DateFormat=P","Fill=—","Direction=H","UseDPDF=Y")</f>
        <v>2473</v>
      </c>
      <c r="AM54" s="13">
        <f>_xll.BDH("XOM US Equity","BS_NUM_OF_TSY_SH","FQ3 2007","FQ3 2007","Currency=USD","Period=FQ","BEST_FPERIOD_OVERRIDE=FQ","FILING_STATUS=OR","Sort=A","Dates=H","DateFormat=P","Fill=—","Direction=H","UseDPDF=Y")</f>
        <v>2556</v>
      </c>
      <c r="AN54" s="13">
        <f>_xll.BDH("XOM US Equity","BS_NUM_OF_TSY_SH","FQ4 2007","FQ4 2007","Currency=USD","Period=FQ","BEST_FPERIOD_OVERRIDE=FQ","FILING_STATUS=OR","Sort=A","Dates=H","DateFormat=P","Fill=—","Direction=H","UseDPDF=Y")</f>
        <v>2637</v>
      </c>
      <c r="AO54" s="13">
        <f>_xll.BDH("XOM US Equity","BS_NUM_OF_TSY_SH","FQ1 2008","FQ1 2008","Currency=USD","Period=FQ","BEST_FPERIOD_OVERRIDE=FQ","FILING_STATUS=OR","Sort=A","Dates=H","DateFormat=P","Fill=—","Direction=H","UseDPDF=Y")</f>
        <v>2736</v>
      </c>
      <c r="AP54" s="13">
        <f>_xll.BDH("XOM US Equity","BS_NUM_OF_TSY_SH","FQ2 2008","FQ2 2008","Currency=USD","Period=FQ","BEST_FPERIOD_OVERRIDE=FQ","FILING_STATUS=OR","Sort=A","Dates=H","DateFormat=P","Fill=—","Direction=H","UseDPDF=Y")</f>
        <v>2825</v>
      </c>
    </row>
    <row r="55" spans="1:42" x14ac:dyDescent="0.25">
      <c r="A55" s="10" t="s">
        <v>263</v>
      </c>
      <c r="B55" s="10" t="s">
        <v>264</v>
      </c>
      <c r="C55" s="13" t="str">
        <f>_xll.BDH("XOM US Equity","BS_PENSION_RSRV","FQ3 1998","FQ3 1998","Currency=USD","Period=FQ","BEST_FPERIOD_OVERRIDE=FQ","FILING_STATUS=OR","SCALING_FORMAT=MLN","Sort=A","Dates=H","DateFormat=P","Fill=—","Direction=H","UseDPDF=Y")</f>
        <v>—</v>
      </c>
      <c r="D55" s="13" t="str">
        <f>_xll.BDH("XOM US Equity","BS_PENSION_RSRV","FQ4 1998","FQ4 1998","Currency=USD","Period=FQ","BEST_FPERIOD_OVERRIDE=FQ","FILING_STATUS=OR","SCALING_FORMAT=MLN","Sort=A","Dates=H","DateFormat=P","Fill=—","Direction=H","UseDPDF=Y")</f>
        <v>—</v>
      </c>
      <c r="E55" s="13" t="str">
        <f>_xll.BDH("XOM US Equity","BS_PENSION_RSRV","FQ1 1999","FQ1 1999","Currency=USD","Period=FQ","BEST_FPERIOD_OVERRIDE=FQ","FILING_STATUS=OR","SCALING_FORMAT=MLN","Sort=A","Dates=H","DateFormat=P","Fill=—","Direction=H","UseDPDF=Y")</f>
        <v>—</v>
      </c>
      <c r="F55" s="13" t="str">
        <f>_xll.BDH("XOM US Equity","BS_PENSION_RSRV","FQ2 1999","FQ2 1999","Currency=USD","Period=FQ","BEST_FPERIOD_OVERRIDE=FQ","FILING_STATUS=OR","SCALING_FORMAT=MLN","Sort=A","Dates=H","DateFormat=P","Fill=—","Direction=H","UseDPDF=Y")</f>
        <v>—</v>
      </c>
      <c r="G55" s="13" t="str">
        <f>_xll.BDH("XOM US Equity","BS_PENSION_RSRV","FQ3 1999","FQ3 1999","Currency=USD","Period=FQ","BEST_FPERIOD_OVERRIDE=FQ","FILING_STATUS=OR","SCALING_FORMAT=MLN","Sort=A","Dates=H","DateFormat=P","Fill=—","Direction=H","UseDPDF=Y")</f>
        <v>—</v>
      </c>
      <c r="H55" s="13" t="str">
        <f>_xll.BDH("XOM US Equity","BS_PENSION_RSRV","FQ4 1999","FQ4 1999","Currency=USD","Period=FQ","BEST_FPERIOD_OVERRIDE=FQ","FILING_STATUS=OR","SCALING_FORMAT=MLN","Sort=A","Dates=H","DateFormat=P","Fill=—","Direction=H","UseDPDF=Y")</f>
        <v>—</v>
      </c>
      <c r="I55" s="13" t="str">
        <f>_xll.BDH("XOM US Equity","BS_PENSION_RSRV","FQ1 2000","FQ1 2000","Currency=USD","Period=FQ","BEST_FPERIOD_OVERRIDE=FQ","FILING_STATUS=OR","SCALING_FORMAT=MLN","Sort=A","Dates=H","DateFormat=P","Fill=—","Direction=H","UseDPDF=Y")</f>
        <v>—</v>
      </c>
      <c r="J55" s="13" t="str">
        <f>_xll.BDH("XOM US Equity","BS_PENSION_RSRV","FQ2 2000","FQ2 2000","Currency=USD","Period=FQ","BEST_FPERIOD_OVERRIDE=FQ","FILING_STATUS=OR","SCALING_FORMAT=MLN","Sort=A","Dates=H","DateFormat=P","Fill=—","Direction=H","UseDPDF=Y")</f>
        <v>—</v>
      </c>
      <c r="K55" s="13" t="str">
        <f>_xll.BDH("XOM US Equity","BS_PENSION_RSRV","FQ3 2000","FQ3 2000","Currency=USD","Period=FQ","BEST_FPERIOD_OVERRIDE=FQ","FILING_STATUS=OR","SCALING_FORMAT=MLN","Sort=A","Dates=H","DateFormat=P","Fill=—","Direction=H","UseDPDF=Y")</f>
        <v>—</v>
      </c>
      <c r="L55" s="13" t="str">
        <f>_xll.BDH("XOM US Equity","BS_PENSION_RSRV","FQ4 2000","FQ4 2000","Currency=USD","Period=FQ","BEST_FPERIOD_OVERRIDE=FQ","FILING_STATUS=OR","SCALING_FORMAT=MLN","Sort=A","Dates=H","DateFormat=P","Fill=—","Direction=H","UseDPDF=Y")</f>
        <v>—</v>
      </c>
      <c r="M55" s="13" t="str">
        <f>_xll.BDH("XOM US Equity","BS_PENSION_RSRV","FQ1 2001","FQ1 2001","Currency=USD","Period=FQ","BEST_FPERIOD_OVERRIDE=FQ","FILING_STATUS=OR","SCALING_FORMAT=MLN","Sort=A","Dates=H","DateFormat=P","Fill=—","Direction=H","UseDPDF=Y")</f>
        <v>—</v>
      </c>
      <c r="N55" s="13" t="str">
        <f>_xll.BDH("XOM US Equity","BS_PENSION_RSRV","FQ2 2001","FQ2 2001","Currency=USD","Period=FQ","BEST_FPERIOD_OVERRIDE=FQ","FILING_STATUS=OR","SCALING_FORMAT=MLN","Sort=A","Dates=H","DateFormat=P","Fill=—","Direction=H","UseDPDF=Y")</f>
        <v>—</v>
      </c>
      <c r="O55" s="13" t="str">
        <f>_xll.BDH("XOM US Equity","BS_PENSION_RSRV","FQ3 2001","FQ3 2001","Currency=USD","Period=FQ","BEST_FPERIOD_OVERRIDE=FQ","FILING_STATUS=OR","SCALING_FORMAT=MLN","Sort=A","Dates=H","DateFormat=P","Fill=—","Direction=H","UseDPDF=Y")</f>
        <v>—</v>
      </c>
      <c r="P55" s="13" t="str">
        <f>_xll.BDH("XOM US Equity","BS_PENSION_RSRV","FQ4 2001","FQ4 2001","Currency=USD","Period=FQ","BEST_FPERIOD_OVERRIDE=FQ","FILING_STATUS=OR","SCALING_FORMAT=MLN","Sort=A","Dates=H","DateFormat=P","Fill=—","Direction=H","UseDPDF=Y")</f>
        <v>—</v>
      </c>
      <c r="Q55" s="13" t="str">
        <f>_xll.BDH("XOM US Equity","BS_PENSION_RSRV","FQ1 2002","FQ1 2002","Currency=USD","Period=FQ","BEST_FPERIOD_OVERRIDE=FQ","FILING_STATUS=OR","SCALING_FORMAT=MLN","Sort=A","Dates=H","DateFormat=P","Fill=—","Direction=H","UseDPDF=Y")</f>
        <v>—</v>
      </c>
      <c r="R55" s="13" t="str">
        <f>_xll.BDH("XOM US Equity","BS_PENSION_RSRV","FQ2 2002","FQ2 2002","Currency=USD","Period=FQ","BEST_FPERIOD_OVERRIDE=FQ","FILING_STATUS=OR","SCALING_FORMAT=MLN","Sort=A","Dates=H","DateFormat=P","Fill=—","Direction=H","UseDPDF=Y")</f>
        <v>—</v>
      </c>
      <c r="S55" s="13" t="str">
        <f>_xll.BDH("XOM US Equity","BS_PENSION_RSRV","FQ3 2002","FQ3 2002","Currency=USD","Period=FQ","BEST_FPERIOD_OVERRIDE=FQ","FILING_STATUS=OR","SCALING_FORMAT=MLN","Sort=A","Dates=H","DateFormat=P","Fill=—","Direction=H","UseDPDF=Y")</f>
        <v>—</v>
      </c>
      <c r="T55" s="13" t="str">
        <f>_xll.BDH("XOM US Equity","BS_PENSION_RSRV","FQ4 2002","FQ4 2002","Currency=USD","Period=FQ","BEST_FPERIOD_OVERRIDE=FQ","FILING_STATUS=OR","SCALING_FORMAT=MLN","Sort=A","Dates=H","DateFormat=P","Fill=—","Direction=H","UseDPDF=Y")</f>
        <v>—</v>
      </c>
      <c r="U55" s="13" t="str">
        <f>_xll.BDH("XOM US Equity","BS_PENSION_RSRV","FQ1 2003","FQ1 2003","Currency=USD","Period=FQ","BEST_FPERIOD_OVERRIDE=FQ","FILING_STATUS=OR","SCALING_FORMAT=MLN","Sort=A","Dates=H","DateFormat=P","Fill=—","Direction=H","UseDPDF=Y")</f>
        <v>—</v>
      </c>
      <c r="V55" s="13" t="str">
        <f>_xll.BDH("XOM US Equity","BS_PENSION_RSRV","FQ2 2003","FQ2 2003","Currency=USD","Period=FQ","BEST_FPERIOD_OVERRIDE=FQ","FILING_STATUS=OR","SCALING_FORMAT=MLN","Sort=A","Dates=H","DateFormat=P","Fill=—","Direction=H","UseDPDF=Y")</f>
        <v>—</v>
      </c>
      <c r="W55" s="13" t="str">
        <f>_xll.BDH("XOM US Equity","BS_PENSION_RSRV","FQ3 2003","FQ3 2003","Currency=USD","Period=FQ","BEST_FPERIOD_OVERRIDE=FQ","FILING_STATUS=OR","SCALING_FORMAT=MLN","Sort=A","Dates=H","DateFormat=P","Fill=—","Direction=H","UseDPDF=Y")</f>
        <v>—</v>
      </c>
      <c r="X55" s="13">
        <f>_xll.BDH("XOM US Equity","BS_PENSION_RSRV","FQ4 2003","FQ4 2003","Currency=USD","Period=FQ","BEST_FPERIOD_OVERRIDE=FQ","FILING_STATUS=OR","SCALING_FORMAT=MLN","Sort=A","Dates=H","DateFormat=P","Fill=—","Direction=H","UseDPDF=Y")</f>
        <v>4862</v>
      </c>
      <c r="Y55" s="13" t="str">
        <f>_xll.BDH("XOM US Equity","BS_PENSION_RSRV","FQ1 2004","FQ1 2004","Currency=USD","Period=FQ","BEST_FPERIOD_OVERRIDE=FQ","FILING_STATUS=OR","SCALING_FORMAT=MLN","Sort=A","Dates=H","DateFormat=P","Fill=—","Direction=H","UseDPDF=Y")</f>
        <v>—</v>
      </c>
      <c r="Z55" s="13" t="str">
        <f>_xll.BDH("XOM US Equity","BS_PENSION_RSRV","FQ2 2004","FQ2 2004","Currency=USD","Period=FQ","BEST_FPERIOD_OVERRIDE=FQ","FILING_STATUS=OR","SCALING_FORMAT=MLN","Sort=A","Dates=H","DateFormat=P","Fill=—","Direction=H","UseDPDF=Y")</f>
        <v>—</v>
      </c>
      <c r="AA55" s="13" t="str">
        <f>_xll.BDH("XOM US Equity","BS_PENSION_RSRV","FQ3 2004","FQ3 2004","Currency=USD","Period=FQ","BEST_FPERIOD_OVERRIDE=FQ","FILING_STATUS=OR","SCALING_FORMAT=MLN","Sort=A","Dates=H","DateFormat=P","Fill=—","Direction=H","UseDPDF=Y")</f>
        <v>—</v>
      </c>
      <c r="AB55" s="13">
        <f>_xll.BDH("XOM US Equity","BS_PENSION_RSRV","FQ4 2004","FQ4 2004","Currency=USD","Period=FQ","BEST_FPERIOD_OVERRIDE=FQ","FILING_STATUS=OR","SCALING_FORMAT=MLN","Sort=A","Dates=H","DateFormat=P","Fill=—","Direction=H","UseDPDF=Y")</f>
        <v>6000</v>
      </c>
      <c r="AC55" s="13" t="str">
        <f>_xll.BDH("XOM US Equity","BS_PENSION_RSRV","FQ1 2005","FQ1 2005","Currency=USD","Period=FQ","BEST_FPERIOD_OVERRIDE=FQ","FILING_STATUS=OR","SCALING_FORMAT=MLN","Sort=A","Dates=H","DateFormat=P","Fill=—","Direction=H","UseDPDF=Y")</f>
        <v>—</v>
      </c>
      <c r="AD55" s="13" t="str">
        <f>_xll.BDH("XOM US Equity","BS_PENSION_RSRV","FQ2 2005","FQ2 2005","Currency=USD","Period=FQ","BEST_FPERIOD_OVERRIDE=FQ","FILING_STATUS=OR","SCALING_FORMAT=MLN","Sort=A","Dates=H","DateFormat=P","Fill=—","Direction=H","UseDPDF=Y")</f>
        <v>—</v>
      </c>
      <c r="AE55" s="13" t="str">
        <f>_xll.BDH("XOM US Equity","BS_PENSION_RSRV","FQ3 2005","FQ3 2005","Currency=USD","Period=FQ","BEST_FPERIOD_OVERRIDE=FQ","FILING_STATUS=OR","SCALING_FORMAT=MLN","Sort=A","Dates=H","DateFormat=P","Fill=—","Direction=H","UseDPDF=Y")</f>
        <v>—</v>
      </c>
      <c r="AF55" s="13">
        <f>_xll.BDH("XOM US Equity","BS_PENSION_RSRV","FQ4 2005","FQ4 2005","Currency=USD","Period=FQ","BEST_FPERIOD_OVERRIDE=FQ","FILING_STATUS=OR","SCALING_FORMAT=MLN","Sort=A","Dates=H","DateFormat=P","Fill=—","Direction=H","UseDPDF=Y")</f>
        <v>6013</v>
      </c>
      <c r="AG55" s="13" t="str">
        <f>_xll.BDH("XOM US Equity","BS_PENSION_RSRV","FQ1 2006","FQ1 2006","Currency=USD","Period=FQ","BEST_FPERIOD_OVERRIDE=FQ","FILING_STATUS=OR","SCALING_FORMAT=MLN","Sort=A","Dates=H","DateFormat=P","Fill=—","Direction=H","UseDPDF=Y")</f>
        <v>—</v>
      </c>
      <c r="AH55" s="13" t="str">
        <f>_xll.BDH("XOM US Equity","BS_PENSION_RSRV","FQ2 2006","FQ2 2006","Currency=USD","Period=FQ","BEST_FPERIOD_OVERRIDE=FQ","FILING_STATUS=OR","SCALING_FORMAT=MLN","Sort=A","Dates=H","DateFormat=P","Fill=—","Direction=H","UseDPDF=Y")</f>
        <v>—</v>
      </c>
      <c r="AI55" s="13" t="str">
        <f>_xll.BDH("XOM US Equity","BS_PENSION_RSRV","FQ3 2006","FQ3 2006","Currency=USD","Period=FQ","BEST_FPERIOD_OVERRIDE=FQ","FILING_STATUS=OR","SCALING_FORMAT=MLN","Sort=A","Dates=H","DateFormat=P","Fill=—","Direction=H","UseDPDF=Y")</f>
        <v>—</v>
      </c>
      <c r="AJ55" s="13">
        <f>_xll.BDH("XOM US Equity","BS_PENSION_RSRV","FQ4 2006","FQ4 2006","Currency=USD","Period=FQ","BEST_FPERIOD_OVERRIDE=FQ","FILING_STATUS=OR","SCALING_FORMAT=MLN","Sort=A","Dates=H","DateFormat=P","Fill=—","Direction=H","UseDPDF=Y")</f>
        <v>13931</v>
      </c>
      <c r="AK55" s="13" t="str">
        <f>_xll.BDH("XOM US Equity","BS_PENSION_RSRV","FQ1 2007","FQ1 2007","Currency=USD","Period=FQ","BEST_FPERIOD_OVERRIDE=FQ","FILING_STATUS=OR","SCALING_FORMAT=MLN","Sort=A","Dates=H","DateFormat=P","Fill=—","Direction=H","UseDPDF=Y")</f>
        <v>—</v>
      </c>
      <c r="AL55" s="13" t="str">
        <f>_xll.BDH("XOM US Equity","BS_PENSION_RSRV","FQ2 2007","FQ2 2007","Currency=USD","Period=FQ","BEST_FPERIOD_OVERRIDE=FQ","FILING_STATUS=OR","SCALING_FORMAT=MLN","Sort=A","Dates=H","DateFormat=P","Fill=—","Direction=H","UseDPDF=Y")</f>
        <v>—</v>
      </c>
      <c r="AM55" s="13" t="str">
        <f>_xll.BDH("XOM US Equity","BS_PENSION_RSRV","FQ3 2007","FQ3 2007","Currency=USD","Period=FQ","BEST_FPERIOD_OVERRIDE=FQ","FILING_STATUS=OR","SCALING_FORMAT=MLN","Sort=A","Dates=H","DateFormat=P","Fill=—","Direction=H","UseDPDF=Y")</f>
        <v>—</v>
      </c>
      <c r="AN55" s="13">
        <f>_xll.BDH("XOM US Equity","BS_PENSION_RSRV","FQ4 2007","FQ4 2007","Currency=USD","Period=FQ","BEST_FPERIOD_OVERRIDE=FQ","FILING_STATUS=OR","SCALING_FORMAT=MLN","Sort=A","Dates=H","DateFormat=P","Fill=—","Direction=H","UseDPDF=Y")</f>
        <v>13278</v>
      </c>
      <c r="AO55" s="13" t="str">
        <f>_xll.BDH("XOM US Equity","BS_PENSION_RSRV","FQ1 2008","FQ1 2008","Currency=USD","Period=FQ","BEST_FPERIOD_OVERRIDE=FQ","FILING_STATUS=OR","SCALING_FORMAT=MLN","Sort=A","Dates=H","DateFormat=P","Fill=—","Direction=H","UseDPDF=Y")</f>
        <v>—</v>
      </c>
      <c r="AP55" s="13" t="str">
        <f>_xll.BDH("XOM US Equity","BS_PENSION_RSRV","FQ2 2008","FQ2 2008","Currency=USD","Period=FQ","BEST_FPERIOD_OVERRIDE=FQ","FILING_STATUS=OR","SCALING_FORMAT=MLN","Sort=A","Dates=H","DateFormat=P","Fill=—","Direction=H","UseDPDF=Y")</f>
        <v>—</v>
      </c>
    </row>
    <row r="56" spans="1:42" x14ac:dyDescent="0.25">
      <c r="A56" s="10" t="s">
        <v>265</v>
      </c>
      <c r="B56" s="10" t="s">
        <v>266</v>
      </c>
      <c r="C56" s="13" t="str">
        <f>_xll.BDH("XOM US Equity","BS_FUTURE_MIN_OPER_LEASE_OBLIG","FQ3 1998","FQ3 1998","Currency=USD","Period=FQ","BEST_FPERIOD_OVERRIDE=FQ","FILING_STATUS=OR","SCALING_FORMAT=MLN","Sort=A","Dates=H","DateFormat=P","Fill=—","Direction=H","UseDPDF=Y")</f>
        <v>—</v>
      </c>
      <c r="D56" s="13" t="str">
        <f>_xll.BDH("XOM US Equity","BS_FUTURE_MIN_OPER_LEASE_OBLIG","FQ4 1998","FQ4 1998","Currency=USD","Period=FQ","BEST_FPERIOD_OVERRIDE=FQ","FILING_STATUS=OR","SCALING_FORMAT=MLN","Sort=A","Dates=H","DateFormat=P","Fill=—","Direction=H","UseDPDF=Y")</f>
        <v>—</v>
      </c>
      <c r="E56" s="13" t="str">
        <f>_xll.BDH("XOM US Equity","BS_FUTURE_MIN_OPER_LEASE_OBLIG","FQ1 1999","FQ1 1999","Currency=USD","Period=FQ","BEST_FPERIOD_OVERRIDE=FQ","FILING_STATUS=OR","SCALING_FORMAT=MLN","Sort=A","Dates=H","DateFormat=P","Fill=—","Direction=H","UseDPDF=Y")</f>
        <v>—</v>
      </c>
      <c r="F56" s="13" t="str">
        <f>_xll.BDH("XOM US Equity","BS_FUTURE_MIN_OPER_LEASE_OBLIG","FQ2 1999","FQ2 1999","Currency=USD","Period=FQ","BEST_FPERIOD_OVERRIDE=FQ","FILING_STATUS=OR","SCALING_FORMAT=MLN","Sort=A","Dates=H","DateFormat=P","Fill=—","Direction=H","UseDPDF=Y")</f>
        <v>—</v>
      </c>
      <c r="G56" s="13" t="str">
        <f>_xll.BDH("XOM US Equity","BS_FUTURE_MIN_OPER_LEASE_OBLIG","FQ3 1999","FQ3 1999","Currency=USD","Period=FQ","BEST_FPERIOD_OVERRIDE=FQ","FILING_STATUS=OR","SCALING_FORMAT=MLN","Sort=A","Dates=H","DateFormat=P","Fill=—","Direction=H","UseDPDF=Y")</f>
        <v>—</v>
      </c>
      <c r="H56" s="13" t="str">
        <f>_xll.BDH("XOM US Equity","BS_FUTURE_MIN_OPER_LEASE_OBLIG","FQ4 1999","FQ4 1999","Currency=USD","Period=FQ","BEST_FPERIOD_OVERRIDE=FQ","FILING_STATUS=OR","SCALING_FORMAT=MLN","Sort=A","Dates=H","DateFormat=P","Fill=—","Direction=H","UseDPDF=Y")</f>
        <v>—</v>
      </c>
      <c r="I56" s="13" t="str">
        <f>_xll.BDH("XOM US Equity","BS_FUTURE_MIN_OPER_LEASE_OBLIG","FQ1 2000","FQ1 2000","Currency=USD","Period=FQ","BEST_FPERIOD_OVERRIDE=FQ","FILING_STATUS=OR","SCALING_FORMAT=MLN","Sort=A","Dates=H","DateFormat=P","Fill=—","Direction=H","UseDPDF=Y")</f>
        <v>—</v>
      </c>
      <c r="J56" s="13" t="str">
        <f>_xll.BDH("XOM US Equity","BS_FUTURE_MIN_OPER_LEASE_OBLIG","FQ2 2000","FQ2 2000","Currency=USD","Period=FQ","BEST_FPERIOD_OVERRIDE=FQ","FILING_STATUS=OR","SCALING_FORMAT=MLN","Sort=A","Dates=H","DateFormat=P","Fill=—","Direction=H","UseDPDF=Y")</f>
        <v>—</v>
      </c>
      <c r="K56" s="13" t="str">
        <f>_xll.BDH("XOM US Equity","BS_FUTURE_MIN_OPER_LEASE_OBLIG","FQ3 2000","FQ3 2000","Currency=USD","Period=FQ","BEST_FPERIOD_OVERRIDE=FQ","FILING_STATUS=OR","SCALING_FORMAT=MLN","Sort=A","Dates=H","DateFormat=P","Fill=—","Direction=H","UseDPDF=Y")</f>
        <v>—</v>
      </c>
      <c r="L56" s="13">
        <f>_xll.BDH("XOM US Equity","BS_FUTURE_MIN_OPER_LEASE_OBLIG","FQ4 2000","FQ4 2000","Currency=USD","Period=FQ","BEST_FPERIOD_OVERRIDE=FQ","FILING_STATUS=OR","SCALING_FORMAT=MLN","Sort=A","Dates=H","DateFormat=P","Fill=—","Direction=H","UseDPDF=Y")</f>
        <v>5301</v>
      </c>
      <c r="M56" s="13" t="str">
        <f>_xll.BDH("XOM US Equity","BS_FUTURE_MIN_OPER_LEASE_OBLIG","FQ1 2001","FQ1 2001","Currency=USD","Period=FQ","BEST_FPERIOD_OVERRIDE=FQ","FILING_STATUS=OR","SCALING_FORMAT=MLN","Sort=A","Dates=H","DateFormat=P","Fill=—","Direction=H","UseDPDF=Y")</f>
        <v>—</v>
      </c>
      <c r="N56" s="13" t="str">
        <f>_xll.BDH("XOM US Equity","BS_FUTURE_MIN_OPER_LEASE_OBLIG","FQ2 2001","FQ2 2001","Currency=USD","Period=FQ","BEST_FPERIOD_OVERRIDE=FQ","FILING_STATUS=OR","SCALING_FORMAT=MLN","Sort=A","Dates=H","DateFormat=P","Fill=—","Direction=H","UseDPDF=Y")</f>
        <v>—</v>
      </c>
      <c r="O56" s="13" t="str">
        <f>_xll.BDH("XOM US Equity","BS_FUTURE_MIN_OPER_LEASE_OBLIG","FQ3 2001","FQ3 2001","Currency=USD","Period=FQ","BEST_FPERIOD_OVERRIDE=FQ","FILING_STATUS=OR","SCALING_FORMAT=MLN","Sort=A","Dates=H","DateFormat=P","Fill=—","Direction=H","UseDPDF=Y")</f>
        <v>—</v>
      </c>
      <c r="P56" s="13">
        <f>_xll.BDH("XOM US Equity","BS_FUTURE_MIN_OPER_LEASE_OBLIG","FQ4 2001","FQ4 2001","Currency=USD","Period=FQ","BEST_FPERIOD_OVERRIDE=FQ","FILING_STATUS=OR","SCALING_FORMAT=MLN","Sort=A","Dates=H","DateFormat=P","Fill=—","Direction=H","UseDPDF=Y")</f>
        <v>6378</v>
      </c>
      <c r="Q56" s="13" t="str">
        <f>_xll.BDH("XOM US Equity","BS_FUTURE_MIN_OPER_LEASE_OBLIG","FQ1 2002","FQ1 2002","Currency=USD","Period=FQ","BEST_FPERIOD_OVERRIDE=FQ","FILING_STATUS=OR","SCALING_FORMAT=MLN","Sort=A","Dates=H","DateFormat=P","Fill=—","Direction=H","UseDPDF=Y")</f>
        <v>—</v>
      </c>
      <c r="R56" s="13" t="str">
        <f>_xll.BDH("XOM US Equity","BS_FUTURE_MIN_OPER_LEASE_OBLIG","FQ2 2002","FQ2 2002","Currency=USD","Period=FQ","BEST_FPERIOD_OVERRIDE=FQ","FILING_STATUS=OR","SCALING_FORMAT=MLN","Sort=A","Dates=H","DateFormat=P","Fill=—","Direction=H","UseDPDF=Y")</f>
        <v>—</v>
      </c>
      <c r="S56" s="13" t="str">
        <f>_xll.BDH("XOM US Equity","BS_FUTURE_MIN_OPER_LEASE_OBLIG","FQ3 2002","FQ3 2002","Currency=USD","Period=FQ","BEST_FPERIOD_OVERRIDE=FQ","FILING_STATUS=OR","SCALING_FORMAT=MLN","Sort=A","Dates=H","DateFormat=P","Fill=—","Direction=H","UseDPDF=Y")</f>
        <v>—</v>
      </c>
      <c r="T56" s="13">
        <f>_xll.BDH("XOM US Equity","BS_FUTURE_MIN_OPER_LEASE_OBLIG","FQ4 2002","FQ4 2002","Currency=USD","Period=FQ","BEST_FPERIOD_OVERRIDE=FQ","FILING_STATUS=OR","SCALING_FORMAT=MLN","Sort=A","Dates=H","DateFormat=P","Fill=—","Direction=H","UseDPDF=Y")</f>
        <v>6547</v>
      </c>
      <c r="U56" s="13" t="str">
        <f>_xll.BDH("XOM US Equity","BS_FUTURE_MIN_OPER_LEASE_OBLIG","FQ1 2003","FQ1 2003","Currency=USD","Period=FQ","BEST_FPERIOD_OVERRIDE=FQ","FILING_STATUS=OR","SCALING_FORMAT=MLN","Sort=A","Dates=H","DateFormat=P","Fill=—","Direction=H","UseDPDF=Y")</f>
        <v>—</v>
      </c>
      <c r="V56" s="13" t="str">
        <f>_xll.BDH("XOM US Equity","BS_FUTURE_MIN_OPER_LEASE_OBLIG","FQ2 2003","FQ2 2003","Currency=USD","Period=FQ","BEST_FPERIOD_OVERRIDE=FQ","FILING_STATUS=OR","SCALING_FORMAT=MLN","Sort=A","Dates=H","DateFormat=P","Fill=—","Direction=H","UseDPDF=Y")</f>
        <v>—</v>
      </c>
      <c r="W56" s="13" t="str">
        <f>_xll.BDH("XOM US Equity","BS_FUTURE_MIN_OPER_LEASE_OBLIG","FQ3 2003","FQ3 2003","Currency=USD","Period=FQ","BEST_FPERIOD_OVERRIDE=FQ","FILING_STATUS=OR","SCALING_FORMAT=MLN","Sort=A","Dates=H","DateFormat=P","Fill=—","Direction=H","UseDPDF=Y")</f>
        <v>—</v>
      </c>
      <c r="X56" s="13">
        <f>_xll.BDH("XOM US Equity","BS_FUTURE_MIN_OPER_LEASE_OBLIG","FQ4 2003","FQ4 2003","Currency=USD","Period=FQ","BEST_FPERIOD_OVERRIDE=FQ","FILING_STATUS=OR","SCALING_FORMAT=MLN","Sort=A","Dates=H","DateFormat=P","Fill=—","Direction=H","UseDPDF=Y")</f>
        <v>5911</v>
      </c>
      <c r="Y56" s="13" t="str">
        <f>_xll.BDH("XOM US Equity","BS_FUTURE_MIN_OPER_LEASE_OBLIG","FQ1 2004","FQ1 2004","Currency=USD","Period=FQ","BEST_FPERIOD_OVERRIDE=FQ","FILING_STATUS=OR","SCALING_FORMAT=MLN","Sort=A","Dates=H","DateFormat=P","Fill=—","Direction=H","UseDPDF=Y")</f>
        <v>—</v>
      </c>
      <c r="Z56" s="13" t="str">
        <f>_xll.BDH("XOM US Equity","BS_FUTURE_MIN_OPER_LEASE_OBLIG","FQ2 2004","FQ2 2004","Currency=USD","Period=FQ","BEST_FPERIOD_OVERRIDE=FQ","FILING_STATUS=OR","SCALING_FORMAT=MLN","Sort=A","Dates=H","DateFormat=P","Fill=—","Direction=H","UseDPDF=Y")</f>
        <v>—</v>
      </c>
      <c r="AA56" s="13" t="str">
        <f>_xll.BDH("XOM US Equity","BS_FUTURE_MIN_OPER_LEASE_OBLIG","FQ3 2004","FQ3 2004","Currency=USD","Period=FQ","BEST_FPERIOD_OVERRIDE=FQ","FILING_STATUS=OR","SCALING_FORMAT=MLN","Sort=A","Dates=H","DateFormat=P","Fill=—","Direction=H","UseDPDF=Y")</f>
        <v>—</v>
      </c>
      <c r="AB56" s="13">
        <f>_xll.BDH("XOM US Equity","BS_FUTURE_MIN_OPER_LEASE_OBLIG","FQ4 2004","FQ4 2004","Currency=USD","Period=FQ","BEST_FPERIOD_OVERRIDE=FQ","FILING_STATUS=OR","SCALING_FORMAT=MLN","Sort=A","Dates=H","DateFormat=P","Fill=—","Direction=H","UseDPDF=Y")</f>
        <v>5769</v>
      </c>
      <c r="AC56" s="13" t="str">
        <f>_xll.BDH("XOM US Equity","BS_FUTURE_MIN_OPER_LEASE_OBLIG","FQ1 2005","FQ1 2005","Currency=USD","Period=FQ","BEST_FPERIOD_OVERRIDE=FQ","FILING_STATUS=OR","SCALING_FORMAT=MLN","Sort=A","Dates=H","DateFormat=P","Fill=—","Direction=H","UseDPDF=Y")</f>
        <v>—</v>
      </c>
      <c r="AD56" s="13" t="str">
        <f>_xll.BDH("XOM US Equity","BS_FUTURE_MIN_OPER_LEASE_OBLIG","FQ2 2005","FQ2 2005","Currency=USD","Period=FQ","BEST_FPERIOD_OVERRIDE=FQ","FILING_STATUS=OR","SCALING_FORMAT=MLN","Sort=A","Dates=H","DateFormat=P","Fill=—","Direction=H","UseDPDF=Y")</f>
        <v>—</v>
      </c>
      <c r="AE56" s="13" t="str">
        <f>_xll.BDH("XOM US Equity","BS_FUTURE_MIN_OPER_LEASE_OBLIG","FQ3 2005","FQ3 2005","Currency=USD","Period=FQ","BEST_FPERIOD_OVERRIDE=FQ","FILING_STATUS=OR","SCALING_FORMAT=MLN","Sort=A","Dates=H","DateFormat=P","Fill=—","Direction=H","UseDPDF=Y")</f>
        <v>—</v>
      </c>
      <c r="AF56" s="13">
        <f>_xll.BDH("XOM US Equity","BS_FUTURE_MIN_OPER_LEASE_OBLIG","FQ4 2005","FQ4 2005","Currency=USD","Period=FQ","BEST_FPERIOD_OVERRIDE=FQ","FILING_STATUS=OR","SCALING_FORMAT=MLN","Sort=A","Dates=H","DateFormat=P","Fill=—","Direction=H","UseDPDF=Y")</f>
        <v>6723</v>
      </c>
      <c r="AG56" s="13" t="str">
        <f>_xll.BDH("XOM US Equity","BS_FUTURE_MIN_OPER_LEASE_OBLIG","FQ1 2006","FQ1 2006","Currency=USD","Period=FQ","BEST_FPERIOD_OVERRIDE=FQ","FILING_STATUS=OR","SCALING_FORMAT=MLN","Sort=A","Dates=H","DateFormat=P","Fill=—","Direction=H","UseDPDF=Y")</f>
        <v>—</v>
      </c>
      <c r="AH56" s="13" t="str">
        <f>_xll.BDH("XOM US Equity","BS_FUTURE_MIN_OPER_LEASE_OBLIG","FQ2 2006","FQ2 2006","Currency=USD","Period=FQ","BEST_FPERIOD_OVERRIDE=FQ","FILING_STATUS=OR","SCALING_FORMAT=MLN","Sort=A","Dates=H","DateFormat=P","Fill=—","Direction=H","UseDPDF=Y")</f>
        <v>—</v>
      </c>
      <c r="AI56" s="13" t="str">
        <f>_xll.BDH("XOM US Equity","BS_FUTURE_MIN_OPER_LEASE_OBLIG","FQ3 2006","FQ3 2006","Currency=USD","Period=FQ","BEST_FPERIOD_OVERRIDE=FQ","FILING_STATUS=OR","SCALING_FORMAT=MLN","Sort=A","Dates=H","DateFormat=P","Fill=—","Direction=H","UseDPDF=Y")</f>
        <v>—</v>
      </c>
      <c r="AJ56" s="13">
        <f>_xll.BDH("XOM US Equity","BS_FUTURE_MIN_OPER_LEASE_OBLIG","FQ4 2006","FQ4 2006","Currency=USD","Period=FQ","BEST_FPERIOD_OVERRIDE=FQ","FILING_STATUS=OR","SCALING_FORMAT=MLN","Sort=A","Dates=H","DateFormat=P","Fill=—","Direction=H","UseDPDF=Y")</f>
        <v>8485</v>
      </c>
      <c r="AK56" s="13" t="str">
        <f>_xll.BDH("XOM US Equity","BS_FUTURE_MIN_OPER_LEASE_OBLIG","FQ1 2007","FQ1 2007","Currency=USD","Period=FQ","BEST_FPERIOD_OVERRIDE=FQ","FILING_STATUS=OR","SCALING_FORMAT=MLN","Sort=A","Dates=H","DateFormat=P","Fill=—","Direction=H","UseDPDF=Y")</f>
        <v>—</v>
      </c>
      <c r="AL56" s="13" t="str">
        <f>_xll.BDH("XOM US Equity","BS_FUTURE_MIN_OPER_LEASE_OBLIG","FQ2 2007","FQ2 2007","Currency=USD","Period=FQ","BEST_FPERIOD_OVERRIDE=FQ","FILING_STATUS=OR","SCALING_FORMAT=MLN","Sort=A","Dates=H","DateFormat=P","Fill=—","Direction=H","UseDPDF=Y")</f>
        <v>—</v>
      </c>
      <c r="AM56" s="13" t="str">
        <f>_xll.BDH("XOM US Equity","BS_FUTURE_MIN_OPER_LEASE_OBLIG","FQ3 2007","FQ3 2007","Currency=USD","Period=FQ","BEST_FPERIOD_OVERRIDE=FQ","FILING_STATUS=OR","SCALING_FORMAT=MLN","Sort=A","Dates=H","DateFormat=P","Fill=—","Direction=H","UseDPDF=Y")</f>
        <v>—</v>
      </c>
      <c r="AN56" s="13">
        <f>_xll.BDH("XOM US Equity","BS_FUTURE_MIN_OPER_LEASE_OBLIG","FQ4 2007","FQ4 2007","Currency=USD","Period=FQ","BEST_FPERIOD_OVERRIDE=FQ","FILING_STATUS=OR","SCALING_FORMAT=MLN","Sort=A","Dates=H","DateFormat=P","Fill=—","Direction=H","UseDPDF=Y")</f>
        <v>9725</v>
      </c>
      <c r="AO56" s="13" t="str">
        <f>_xll.BDH("XOM US Equity","BS_FUTURE_MIN_OPER_LEASE_OBLIG","FQ1 2008","FQ1 2008","Currency=USD","Period=FQ","BEST_FPERIOD_OVERRIDE=FQ","FILING_STATUS=OR","SCALING_FORMAT=MLN","Sort=A","Dates=H","DateFormat=P","Fill=—","Direction=H","UseDPDF=Y")</f>
        <v>—</v>
      </c>
      <c r="AP56" s="13" t="str">
        <f>_xll.BDH("XOM US Equity","BS_FUTURE_MIN_OPER_LEASE_OBLIG","FQ2 2008","FQ2 2008","Currency=USD","Period=FQ","BEST_FPERIOD_OVERRIDE=FQ","FILING_STATUS=OR","SCALING_FORMAT=MLN","Sort=A","Dates=H","DateFormat=P","Fill=—","Direction=H","UseDPDF=Y")</f>
        <v>—</v>
      </c>
    </row>
    <row r="57" spans="1:42" x14ac:dyDescent="0.25">
      <c r="A57" s="10" t="s">
        <v>267</v>
      </c>
      <c r="B57" s="10" t="s">
        <v>268</v>
      </c>
      <c r="C57" s="13" t="str">
        <f>_xll.BDH("XOM US Equity","BS_TOTAL_CAPITAL_LEASES","FQ3 1998","FQ3 1998","Currency=USD","Period=FQ","BEST_FPERIOD_OVERRIDE=FQ","FILING_STATUS=OR","SCALING_FORMAT=MLN","Sort=A","Dates=H","DateFormat=P","Fill=—","Direction=H","UseDPDF=Y")</f>
        <v>—</v>
      </c>
      <c r="D57" s="13" t="str">
        <f>_xll.BDH("XOM US Equity","BS_TOTAL_CAPITAL_LEASES","FQ4 1998","FQ4 1998","Currency=USD","Period=FQ","BEST_FPERIOD_OVERRIDE=FQ","FILING_STATUS=OR","SCALING_FORMAT=MLN","Sort=A","Dates=H","DateFormat=P","Fill=—","Direction=H","UseDPDF=Y")</f>
        <v>—</v>
      </c>
      <c r="E57" s="13" t="str">
        <f>_xll.BDH("XOM US Equity","BS_TOTAL_CAPITAL_LEASES","FQ1 1999","FQ1 1999","Currency=USD","Period=FQ","BEST_FPERIOD_OVERRIDE=FQ","FILING_STATUS=OR","SCALING_FORMAT=MLN","Sort=A","Dates=H","DateFormat=P","Fill=—","Direction=H","UseDPDF=Y")</f>
        <v>—</v>
      </c>
      <c r="F57" s="13" t="str">
        <f>_xll.BDH("XOM US Equity","BS_TOTAL_CAPITAL_LEASES","FQ2 1999","FQ2 1999","Currency=USD","Period=FQ","BEST_FPERIOD_OVERRIDE=FQ","FILING_STATUS=OR","SCALING_FORMAT=MLN","Sort=A","Dates=H","DateFormat=P","Fill=—","Direction=H","UseDPDF=Y")</f>
        <v>—</v>
      </c>
      <c r="G57" s="13" t="str">
        <f>_xll.BDH("XOM US Equity","BS_TOTAL_CAPITAL_LEASES","FQ3 1999","FQ3 1999","Currency=USD","Period=FQ","BEST_FPERIOD_OVERRIDE=FQ","FILING_STATUS=OR","SCALING_FORMAT=MLN","Sort=A","Dates=H","DateFormat=P","Fill=—","Direction=H","UseDPDF=Y")</f>
        <v>—</v>
      </c>
      <c r="H57" s="13">
        <f>_xll.BDH("XOM US Equity","BS_TOTAL_CAPITAL_LEASES","FQ4 1999","FQ4 1999","Currency=USD","Period=FQ","BEST_FPERIOD_OVERRIDE=FQ","FILING_STATUS=OR","SCALING_FORMAT=MLN","Sort=A","Dates=H","DateFormat=P","Fill=—","Direction=H","UseDPDF=Y")</f>
        <v>270</v>
      </c>
      <c r="I57" s="13" t="str">
        <f>_xll.BDH("XOM US Equity","BS_TOTAL_CAPITAL_LEASES","FQ1 2000","FQ1 2000","Currency=USD","Period=FQ","BEST_FPERIOD_OVERRIDE=FQ","FILING_STATUS=OR","SCALING_FORMAT=MLN","Sort=A","Dates=H","DateFormat=P","Fill=—","Direction=H","UseDPDF=Y")</f>
        <v>—</v>
      </c>
      <c r="J57" s="13" t="str">
        <f>_xll.BDH("XOM US Equity","BS_TOTAL_CAPITAL_LEASES","FQ2 2000","FQ2 2000","Currency=USD","Period=FQ","BEST_FPERIOD_OVERRIDE=FQ","FILING_STATUS=OR","SCALING_FORMAT=MLN","Sort=A","Dates=H","DateFormat=P","Fill=—","Direction=H","UseDPDF=Y")</f>
        <v>—</v>
      </c>
      <c r="K57" s="13" t="str">
        <f>_xll.BDH("XOM US Equity","BS_TOTAL_CAPITAL_LEASES","FQ3 2000","FQ3 2000","Currency=USD","Period=FQ","BEST_FPERIOD_OVERRIDE=FQ","FILING_STATUS=OR","SCALING_FORMAT=MLN","Sort=A","Dates=H","DateFormat=P","Fill=—","Direction=H","UseDPDF=Y")</f>
        <v>—</v>
      </c>
      <c r="L57" s="13">
        <f>_xll.BDH("XOM US Equity","BS_TOTAL_CAPITAL_LEASES","FQ4 2000","FQ4 2000","Currency=USD","Period=FQ","BEST_FPERIOD_OVERRIDE=FQ","FILING_STATUS=OR","SCALING_FORMAT=MLN","Sort=A","Dates=H","DateFormat=P","Fill=—","Direction=H","UseDPDF=Y")</f>
        <v>252</v>
      </c>
      <c r="M57" s="13" t="str">
        <f>_xll.BDH("XOM US Equity","BS_TOTAL_CAPITAL_LEASES","FQ1 2001","FQ1 2001","Currency=USD","Period=FQ","BEST_FPERIOD_OVERRIDE=FQ","FILING_STATUS=OR","SCALING_FORMAT=MLN","Sort=A","Dates=H","DateFormat=P","Fill=—","Direction=H","UseDPDF=Y")</f>
        <v>—</v>
      </c>
      <c r="N57" s="13" t="str">
        <f>_xll.BDH("XOM US Equity","BS_TOTAL_CAPITAL_LEASES","FQ2 2001","FQ2 2001","Currency=USD","Period=FQ","BEST_FPERIOD_OVERRIDE=FQ","FILING_STATUS=OR","SCALING_FORMAT=MLN","Sort=A","Dates=H","DateFormat=P","Fill=—","Direction=H","UseDPDF=Y")</f>
        <v>—</v>
      </c>
      <c r="O57" s="13" t="str">
        <f>_xll.BDH("XOM US Equity","BS_TOTAL_CAPITAL_LEASES","FQ3 2001","FQ3 2001","Currency=USD","Period=FQ","BEST_FPERIOD_OVERRIDE=FQ","FILING_STATUS=OR","SCALING_FORMAT=MLN","Sort=A","Dates=H","DateFormat=P","Fill=—","Direction=H","UseDPDF=Y")</f>
        <v>—</v>
      </c>
      <c r="P57" s="13">
        <f>_xll.BDH("XOM US Equity","BS_TOTAL_CAPITAL_LEASES","FQ4 2001","FQ4 2001","Currency=USD","Period=FQ","BEST_FPERIOD_OVERRIDE=FQ","FILING_STATUS=OR","SCALING_FORMAT=MLN","Sort=A","Dates=H","DateFormat=P","Fill=—","Direction=H","UseDPDF=Y")</f>
        <v>266</v>
      </c>
      <c r="Q57" s="13" t="str">
        <f>_xll.BDH("XOM US Equity","BS_TOTAL_CAPITAL_LEASES","FQ1 2002","FQ1 2002","Currency=USD","Period=FQ","BEST_FPERIOD_OVERRIDE=FQ","FILING_STATUS=OR","SCALING_FORMAT=MLN","Sort=A","Dates=H","DateFormat=P","Fill=—","Direction=H","UseDPDF=Y")</f>
        <v>—</v>
      </c>
      <c r="R57" s="13" t="str">
        <f>_xll.BDH("XOM US Equity","BS_TOTAL_CAPITAL_LEASES","FQ2 2002","FQ2 2002","Currency=USD","Period=FQ","BEST_FPERIOD_OVERRIDE=FQ","FILING_STATUS=OR","SCALING_FORMAT=MLN","Sort=A","Dates=H","DateFormat=P","Fill=—","Direction=H","UseDPDF=Y")</f>
        <v>—</v>
      </c>
      <c r="S57" s="13" t="str">
        <f>_xll.BDH("XOM US Equity","BS_TOTAL_CAPITAL_LEASES","FQ3 2002","FQ3 2002","Currency=USD","Period=FQ","BEST_FPERIOD_OVERRIDE=FQ","FILING_STATUS=OR","SCALING_FORMAT=MLN","Sort=A","Dates=H","DateFormat=P","Fill=—","Direction=H","UseDPDF=Y")</f>
        <v>—</v>
      </c>
      <c r="T57" s="13">
        <f>_xll.BDH("XOM US Equity","BS_TOTAL_CAPITAL_LEASES","FQ4 2002","FQ4 2002","Currency=USD","Period=FQ","BEST_FPERIOD_OVERRIDE=FQ","FILING_STATUS=OR","SCALING_FORMAT=MLN","Sort=A","Dates=H","DateFormat=P","Fill=—","Direction=H","UseDPDF=Y")</f>
        <v>294</v>
      </c>
      <c r="U57" s="13" t="str">
        <f>_xll.BDH("XOM US Equity","BS_TOTAL_CAPITAL_LEASES","FQ1 2003","FQ1 2003","Currency=USD","Period=FQ","BEST_FPERIOD_OVERRIDE=FQ","FILING_STATUS=OR","SCALING_FORMAT=MLN","Sort=A","Dates=H","DateFormat=P","Fill=—","Direction=H","UseDPDF=Y")</f>
        <v>—</v>
      </c>
      <c r="V57" s="13" t="str">
        <f>_xll.BDH("XOM US Equity","BS_TOTAL_CAPITAL_LEASES","FQ2 2003","FQ2 2003","Currency=USD","Period=FQ","BEST_FPERIOD_OVERRIDE=FQ","FILING_STATUS=OR","SCALING_FORMAT=MLN","Sort=A","Dates=H","DateFormat=P","Fill=—","Direction=H","UseDPDF=Y")</f>
        <v>—</v>
      </c>
      <c r="W57" s="13" t="str">
        <f>_xll.BDH("XOM US Equity","BS_TOTAL_CAPITAL_LEASES","FQ3 2003","FQ3 2003","Currency=USD","Period=FQ","BEST_FPERIOD_OVERRIDE=FQ","FILING_STATUS=OR","SCALING_FORMAT=MLN","Sort=A","Dates=H","DateFormat=P","Fill=—","Direction=H","UseDPDF=Y")</f>
        <v>—</v>
      </c>
      <c r="X57" s="13">
        <f>_xll.BDH("XOM US Equity","BS_TOTAL_CAPITAL_LEASES","FQ4 2003","FQ4 2003","Currency=USD","Period=FQ","BEST_FPERIOD_OVERRIDE=FQ","FILING_STATUS=OR","SCALING_FORMAT=MLN","Sort=A","Dates=H","DateFormat=P","Fill=—","Direction=H","UseDPDF=Y")</f>
        <v>370</v>
      </c>
      <c r="Y57" s="13" t="str">
        <f>_xll.BDH("XOM US Equity","BS_TOTAL_CAPITAL_LEASES","FQ1 2004","FQ1 2004","Currency=USD","Period=FQ","BEST_FPERIOD_OVERRIDE=FQ","FILING_STATUS=OR","SCALING_FORMAT=MLN","Sort=A","Dates=H","DateFormat=P","Fill=—","Direction=H","UseDPDF=Y")</f>
        <v>—</v>
      </c>
      <c r="Z57" s="13" t="str">
        <f>_xll.BDH("XOM US Equity","BS_TOTAL_CAPITAL_LEASES","FQ2 2004","FQ2 2004","Currency=USD","Period=FQ","BEST_FPERIOD_OVERRIDE=FQ","FILING_STATUS=OR","SCALING_FORMAT=MLN","Sort=A","Dates=H","DateFormat=P","Fill=—","Direction=H","UseDPDF=Y")</f>
        <v>—</v>
      </c>
      <c r="AA57" s="13" t="str">
        <f>_xll.BDH("XOM US Equity","BS_TOTAL_CAPITAL_LEASES","FQ3 2004","FQ3 2004","Currency=USD","Period=FQ","BEST_FPERIOD_OVERRIDE=FQ","FILING_STATUS=OR","SCALING_FORMAT=MLN","Sort=A","Dates=H","DateFormat=P","Fill=—","Direction=H","UseDPDF=Y")</f>
        <v>—</v>
      </c>
      <c r="AB57" s="13">
        <f>_xll.BDH("XOM US Equity","BS_TOTAL_CAPITAL_LEASES","FQ4 2004","FQ4 2004","Currency=USD","Period=FQ","BEST_FPERIOD_OVERRIDE=FQ","FILING_STATUS=OR","SCALING_FORMAT=MLN","Sort=A","Dates=H","DateFormat=P","Fill=—","Direction=H","UseDPDF=Y")</f>
        <v>354</v>
      </c>
      <c r="AC57" s="13" t="str">
        <f>_xll.BDH("XOM US Equity","BS_TOTAL_CAPITAL_LEASES","FQ1 2005","FQ1 2005","Currency=USD","Period=FQ","BEST_FPERIOD_OVERRIDE=FQ","FILING_STATUS=OR","SCALING_FORMAT=MLN","Sort=A","Dates=H","DateFormat=P","Fill=—","Direction=H","UseDPDF=Y")</f>
        <v>—</v>
      </c>
      <c r="AD57" s="13" t="str">
        <f>_xll.BDH("XOM US Equity","BS_TOTAL_CAPITAL_LEASES","FQ2 2005","FQ2 2005","Currency=USD","Period=FQ","BEST_FPERIOD_OVERRIDE=FQ","FILING_STATUS=OR","SCALING_FORMAT=MLN","Sort=A","Dates=H","DateFormat=P","Fill=—","Direction=H","UseDPDF=Y")</f>
        <v>—</v>
      </c>
      <c r="AE57" s="13" t="str">
        <f>_xll.BDH("XOM US Equity","BS_TOTAL_CAPITAL_LEASES","FQ3 2005","FQ3 2005","Currency=USD","Period=FQ","BEST_FPERIOD_OVERRIDE=FQ","FILING_STATUS=OR","SCALING_FORMAT=MLN","Sort=A","Dates=H","DateFormat=P","Fill=—","Direction=H","UseDPDF=Y")</f>
        <v>—</v>
      </c>
      <c r="AF57" s="13">
        <f>_xll.BDH("XOM US Equity","BS_TOTAL_CAPITAL_LEASES","FQ4 2005","FQ4 2005","Currency=USD","Period=FQ","BEST_FPERIOD_OVERRIDE=FQ","FILING_STATUS=OR","SCALING_FORMAT=MLN","Sort=A","Dates=H","DateFormat=P","Fill=—","Direction=H","UseDPDF=Y")</f>
        <v>197</v>
      </c>
      <c r="AG57" s="13" t="str">
        <f>_xll.BDH("XOM US Equity","BS_TOTAL_CAPITAL_LEASES","FQ1 2006","FQ1 2006","Currency=USD","Period=FQ","BEST_FPERIOD_OVERRIDE=FQ","FILING_STATUS=OR","SCALING_FORMAT=MLN","Sort=A","Dates=H","DateFormat=P","Fill=—","Direction=H","UseDPDF=Y")</f>
        <v>—</v>
      </c>
      <c r="AH57" s="13" t="str">
        <f>_xll.BDH("XOM US Equity","BS_TOTAL_CAPITAL_LEASES","FQ2 2006","FQ2 2006","Currency=USD","Period=FQ","BEST_FPERIOD_OVERRIDE=FQ","FILING_STATUS=OR","SCALING_FORMAT=MLN","Sort=A","Dates=H","DateFormat=P","Fill=—","Direction=H","UseDPDF=Y")</f>
        <v>—</v>
      </c>
      <c r="AI57" s="13" t="str">
        <f>_xll.BDH("XOM US Equity","BS_TOTAL_CAPITAL_LEASES","FQ3 2006","FQ3 2006","Currency=USD","Period=FQ","BEST_FPERIOD_OVERRIDE=FQ","FILING_STATUS=OR","SCALING_FORMAT=MLN","Sort=A","Dates=H","DateFormat=P","Fill=—","Direction=H","UseDPDF=Y")</f>
        <v>—</v>
      </c>
      <c r="AJ57" s="13">
        <f>_xll.BDH("XOM US Equity","BS_TOTAL_CAPITAL_LEASES","FQ4 2006","FQ4 2006","Currency=USD","Period=FQ","BEST_FPERIOD_OVERRIDE=FQ","FILING_STATUS=OR","SCALING_FORMAT=MLN","Sort=A","Dates=H","DateFormat=P","Fill=—","Direction=H","UseDPDF=Y")</f>
        <v>220</v>
      </c>
      <c r="AK57" s="13" t="str">
        <f>_xll.BDH("XOM US Equity","BS_TOTAL_CAPITAL_LEASES","FQ1 2007","FQ1 2007","Currency=USD","Period=FQ","BEST_FPERIOD_OVERRIDE=FQ","FILING_STATUS=OR","SCALING_FORMAT=MLN","Sort=A","Dates=H","DateFormat=P","Fill=—","Direction=H","UseDPDF=Y")</f>
        <v>—</v>
      </c>
      <c r="AL57" s="13" t="str">
        <f>_xll.BDH("XOM US Equity","BS_TOTAL_CAPITAL_LEASES","FQ2 2007","FQ2 2007","Currency=USD","Period=FQ","BEST_FPERIOD_OVERRIDE=FQ","FILING_STATUS=OR","SCALING_FORMAT=MLN","Sort=A","Dates=H","DateFormat=P","Fill=—","Direction=H","UseDPDF=Y")</f>
        <v>—</v>
      </c>
      <c r="AM57" s="13" t="str">
        <f>_xll.BDH("XOM US Equity","BS_TOTAL_CAPITAL_LEASES","FQ3 2007","FQ3 2007","Currency=USD","Period=FQ","BEST_FPERIOD_OVERRIDE=FQ","FILING_STATUS=OR","SCALING_FORMAT=MLN","Sort=A","Dates=H","DateFormat=P","Fill=—","Direction=H","UseDPDF=Y")</f>
        <v>—</v>
      </c>
      <c r="AN57" s="13">
        <f>_xll.BDH("XOM US Equity","BS_TOTAL_CAPITAL_LEASES","FQ4 2007","FQ4 2007","Currency=USD","Period=FQ","BEST_FPERIOD_OVERRIDE=FQ","FILING_STATUS=OR","SCALING_FORMAT=MLN","Sort=A","Dates=H","DateFormat=P","Fill=—","Direction=H","UseDPDF=Y")</f>
        <v>409</v>
      </c>
      <c r="AO57" s="13" t="str">
        <f>_xll.BDH("XOM US Equity","BS_TOTAL_CAPITAL_LEASES","FQ1 2008","FQ1 2008","Currency=USD","Period=FQ","BEST_FPERIOD_OVERRIDE=FQ","FILING_STATUS=OR","SCALING_FORMAT=MLN","Sort=A","Dates=H","DateFormat=P","Fill=—","Direction=H","UseDPDF=Y")</f>
        <v>—</v>
      </c>
      <c r="AP57" s="13" t="str">
        <f>_xll.BDH("XOM US Equity","BS_TOTAL_CAPITAL_LEASES","FQ2 2008","FQ2 2008","Currency=USD","Period=FQ","BEST_FPERIOD_OVERRIDE=FQ","FILING_STATUS=OR","SCALING_FORMAT=MLN","Sort=A","Dates=H","DateFormat=P","Fill=—","Direction=H","UseDPDF=Y")</f>
        <v>—</v>
      </c>
    </row>
    <row r="58" spans="1:42" x14ac:dyDescent="0.25">
      <c r="A58" s="10" t="s">
        <v>269</v>
      </c>
      <c r="B58" s="10" t="s">
        <v>270</v>
      </c>
      <c r="C58" s="13" t="str">
        <f>_xll.BDH("XOM US Equity","BS_OPTIONS_GRANTED","FQ3 1998","FQ3 1998","Currency=USD","Period=FQ","BEST_FPERIOD_OVERRIDE=FQ","FILING_STATUS=OR","Sort=A","Dates=H","DateFormat=P","Fill=—","Direction=H","UseDPDF=Y")</f>
        <v>—</v>
      </c>
      <c r="D58" s="13" t="str">
        <f>_xll.BDH("XOM US Equity","BS_OPTIONS_GRANTED","FQ4 1998","FQ4 1998","Currency=USD","Period=FQ","BEST_FPERIOD_OVERRIDE=FQ","FILING_STATUS=OR","Sort=A","Dates=H","DateFormat=P","Fill=—","Direction=H","UseDPDF=Y")</f>
        <v>—</v>
      </c>
      <c r="E58" s="13" t="str">
        <f>_xll.BDH("XOM US Equity","BS_OPTIONS_GRANTED","FQ1 1999","FQ1 1999","Currency=USD","Period=FQ","BEST_FPERIOD_OVERRIDE=FQ","FILING_STATUS=OR","Sort=A","Dates=H","DateFormat=P","Fill=—","Direction=H","UseDPDF=Y")</f>
        <v>—</v>
      </c>
      <c r="F58" s="13" t="str">
        <f>_xll.BDH("XOM US Equity","BS_OPTIONS_GRANTED","FQ2 1999","FQ2 1999","Currency=USD","Period=FQ","BEST_FPERIOD_OVERRIDE=FQ","FILING_STATUS=OR","Sort=A","Dates=H","DateFormat=P","Fill=—","Direction=H","UseDPDF=Y")</f>
        <v>—</v>
      </c>
      <c r="G58" s="13" t="str">
        <f>_xll.BDH("XOM US Equity","BS_OPTIONS_GRANTED","FQ3 1999","FQ3 1999","Currency=USD","Period=FQ","BEST_FPERIOD_OVERRIDE=FQ","FILING_STATUS=OR","Sort=A","Dates=H","DateFormat=P","Fill=—","Direction=H","UseDPDF=Y")</f>
        <v>—</v>
      </c>
      <c r="H58" s="13" t="str">
        <f>_xll.BDH("XOM US Equity","BS_OPTIONS_GRANTED","FQ4 1999","FQ4 1999","Currency=USD","Period=FQ","BEST_FPERIOD_OVERRIDE=FQ","FILING_STATUS=OR","Sort=A","Dates=H","DateFormat=P","Fill=—","Direction=H","UseDPDF=Y")</f>
        <v>—</v>
      </c>
      <c r="I58" s="13" t="str">
        <f>_xll.BDH("XOM US Equity","BS_OPTIONS_GRANTED","FQ1 2000","FQ1 2000","Currency=USD","Period=FQ","BEST_FPERIOD_OVERRIDE=FQ","FILING_STATUS=OR","Sort=A","Dates=H","DateFormat=P","Fill=—","Direction=H","UseDPDF=Y")</f>
        <v>—</v>
      </c>
      <c r="J58" s="13" t="str">
        <f>_xll.BDH("XOM US Equity","BS_OPTIONS_GRANTED","FQ2 2000","FQ2 2000","Currency=USD","Period=FQ","BEST_FPERIOD_OVERRIDE=FQ","FILING_STATUS=OR","Sort=A","Dates=H","DateFormat=P","Fill=—","Direction=H","UseDPDF=Y")</f>
        <v>—</v>
      </c>
      <c r="K58" s="13" t="str">
        <f>_xll.BDH("XOM US Equity","BS_OPTIONS_GRANTED","FQ3 2000","FQ3 2000","Currency=USD","Period=FQ","BEST_FPERIOD_OVERRIDE=FQ","FILING_STATUS=OR","Sort=A","Dates=H","DateFormat=P","Fill=—","Direction=H","UseDPDF=Y")</f>
        <v>—</v>
      </c>
      <c r="L58" s="13" t="str">
        <f>_xll.BDH("XOM US Equity","BS_OPTIONS_GRANTED","FQ4 2000","FQ4 2000","Currency=USD","Period=FQ","BEST_FPERIOD_OVERRIDE=FQ","FILING_STATUS=OR","Sort=A","Dates=H","DateFormat=P","Fill=—","Direction=H","UseDPDF=Y")</f>
        <v>—</v>
      </c>
      <c r="M58" s="13" t="str">
        <f>_xll.BDH("XOM US Equity","BS_OPTIONS_GRANTED","FQ1 2001","FQ1 2001","Currency=USD","Period=FQ","BEST_FPERIOD_OVERRIDE=FQ","FILING_STATUS=OR","Sort=A","Dates=H","DateFormat=P","Fill=—","Direction=H","UseDPDF=Y")</f>
        <v>—</v>
      </c>
      <c r="N58" s="13" t="str">
        <f>_xll.BDH("XOM US Equity","BS_OPTIONS_GRANTED","FQ2 2001","FQ2 2001","Currency=USD","Period=FQ","BEST_FPERIOD_OVERRIDE=FQ","FILING_STATUS=OR","Sort=A","Dates=H","DateFormat=P","Fill=—","Direction=H","UseDPDF=Y")</f>
        <v>—</v>
      </c>
      <c r="O58" s="13" t="str">
        <f>_xll.BDH("XOM US Equity","BS_OPTIONS_GRANTED","FQ3 2001","FQ3 2001","Currency=USD","Period=FQ","BEST_FPERIOD_OVERRIDE=FQ","FILING_STATUS=OR","Sort=A","Dates=H","DateFormat=P","Fill=—","Direction=H","UseDPDF=Y")</f>
        <v>—</v>
      </c>
      <c r="P58" s="13">
        <f>_xll.BDH("XOM US Equity","BS_OPTIONS_GRANTED","FQ4 2001","FQ4 2001","Currency=USD","Period=FQ","BEST_FPERIOD_OVERRIDE=FQ","FILING_STATUS=OR","Sort=A","Dates=H","DateFormat=P","Fill=—","Direction=H","UseDPDF=Y")</f>
        <v>34.716999999999999</v>
      </c>
      <c r="Q58" s="13">
        <f>_xll.BDH("XOM US Equity","BS_OPTIONS_GRANTED","FQ1 2002","FQ1 2002","Currency=USD","Period=FQ","BEST_FPERIOD_OVERRIDE=FQ","FILING_STATUS=OR","Sort=A","Dates=H","DateFormat=P","Fill=—","Direction=H","UseDPDF=Y")</f>
        <v>0</v>
      </c>
      <c r="R58" s="13">
        <f>_xll.BDH("XOM US Equity","BS_OPTIONS_GRANTED","FQ2 2002","FQ2 2002","Currency=USD","Period=FQ","BEST_FPERIOD_OVERRIDE=FQ","FILING_STATUS=OR","Sort=A","Dates=H","DateFormat=P","Fill=—","Direction=H","UseDPDF=Y")</f>
        <v>0</v>
      </c>
      <c r="S58" s="13">
        <f>_xll.BDH("XOM US Equity","BS_OPTIONS_GRANTED","FQ3 2002","FQ3 2002","Currency=USD","Period=FQ","BEST_FPERIOD_OVERRIDE=FQ","FILING_STATUS=OR","Sort=A","Dates=H","DateFormat=P","Fill=—","Direction=H","UseDPDF=Y")</f>
        <v>0</v>
      </c>
      <c r="T58" s="13">
        <f>_xll.BDH("XOM US Equity","BS_OPTIONS_GRANTED","FQ4 2002","FQ4 2002","Currency=USD","Period=FQ","BEST_FPERIOD_OVERRIDE=FQ","FILING_STATUS=OR","Sort=A","Dates=H","DateFormat=P","Fill=—","Direction=H","UseDPDF=Y")</f>
        <v>0</v>
      </c>
      <c r="U58" s="13">
        <f>_xll.BDH("XOM US Equity","BS_OPTIONS_GRANTED","FQ1 2003","FQ1 2003","Currency=USD","Period=FQ","BEST_FPERIOD_OVERRIDE=FQ","FILING_STATUS=OR","Sort=A","Dates=H","DateFormat=P","Fill=—","Direction=H","UseDPDF=Y")</f>
        <v>0</v>
      </c>
      <c r="V58" s="13">
        <f>_xll.BDH("XOM US Equity","BS_OPTIONS_GRANTED","FQ2 2003","FQ2 2003","Currency=USD","Period=FQ","BEST_FPERIOD_OVERRIDE=FQ","FILING_STATUS=OR","Sort=A","Dates=H","DateFormat=P","Fill=—","Direction=H","UseDPDF=Y")</f>
        <v>0</v>
      </c>
      <c r="W58" s="13">
        <f>_xll.BDH("XOM US Equity","BS_OPTIONS_GRANTED","FQ3 2003","FQ3 2003","Currency=USD","Period=FQ","BEST_FPERIOD_OVERRIDE=FQ","FILING_STATUS=OR","Sort=A","Dates=H","DateFormat=P","Fill=—","Direction=H","UseDPDF=Y")</f>
        <v>0</v>
      </c>
      <c r="X58" s="13">
        <f>_xll.BDH("XOM US Equity","BS_OPTIONS_GRANTED","FQ4 2003","FQ4 2003","Currency=USD","Period=FQ","BEST_FPERIOD_OVERRIDE=FQ","FILING_STATUS=OR","Sort=A","Dates=H","DateFormat=P","Fill=—","Direction=H","UseDPDF=Y")</f>
        <v>0</v>
      </c>
      <c r="Y58" s="13">
        <f>_xll.BDH("XOM US Equity","BS_OPTIONS_GRANTED","FQ1 2004","FQ1 2004","Currency=USD","Period=FQ","BEST_FPERIOD_OVERRIDE=FQ","FILING_STATUS=OR","Sort=A","Dates=H","DateFormat=P","Fill=—","Direction=H","UseDPDF=Y")</f>
        <v>0</v>
      </c>
      <c r="Z58" s="13">
        <f>_xll.BDH("XOM US Equity","BS_OPTIONS_GRANTED","FQ2 2004","FQ2 2004","Currency=USD","Period=FQ","BEST_FPERIOD_OVERRIDE=FQ","FILING_STATUS=OR","Sort=A","Dates=H","DateFormat=P","Fill=—","Direction=H","UseDPDF=Y")</f>
        <v>0</v>
      </c>
      <c r="AA58" s="13">
        <f>_xll.BDH("XOM US Equity","BS_OPTIONS_GRANTED","FQ3 2004","FQ3 2004","Currency=USD","Period=FQ","BEST_FPERIOD_OVERRIDE=FQ","FILING_STATUS=OR","Sort=A","Dates=H","DateFormat=P","Fill=—","Direction=H","UseDPDF=Y")</f>
        <v>0</v>
      </c>
      <c r="AB58" s="13">
        <f>_xll.BDH("XOM US Equity","BS_OPTIONS_GRANTED","FQ4 2004","FQ4 2004","Currency=USD","Period=FQ","BEST_FPERIOD_OVERRIDE=FQ","FILING_STATUS=OR","Sort=A","Dates=H","DateFormat=P","Fill=—","Direction=H","UseDPDF=Y")</f>
        <v>0</v>
      </c>
      <c r="AC58" s="13">
        <f>_xll.BDH("XOM US Equity","BS_OPTIONS_GRANTED","FQ1 2005","FQ1 2005","Currency=USD","Period=FQ","BEST_FPERIOD_OVERRIDE=FQ","FILING_STATUS=OR","Sort=A","Dates=H","DateFormat=P","Fill=—","Direction=H","UseDPDF=Y")</f>
        <v>0</v>
      </c>
      <c r="AD58" s="13">
        <f>_xll.BDH("XOM US Equity","BS_OPTIONS_GRANTED","FQ2 2005","FQ2 2005","Currency=USD","Period=FQ","BEST_FPERIOD_OVERRIDE=FQ","FILING_STATUS=OR","Sort=A","Dates=H","DateFormat=P","Fill=—","Direction=H","UseDPDF=Y")</f>
        <v>0</v>
      </c>
      <c r="AE58" s="13">
        <f>_xll.BDH("XOM US Equity","BS_OPTIONS_GRANTED","FQ3 2005","FQ3 2005","Currency=USD","Period=FQ","BEST_FPERIOD_OVERRIDE=FQ","FILING_STATUS=OR","Sort=A","Dates=H","DateFormat=P","Fill=—","Direction=H","UseDPDF=Y")</f>
        <v>0</v>
      </c>
      <c r="AF58" s="13">
        <f>_xll.BDH("XOM US Equity","BS_OPTIONS_GRANTED","FQ4 2005","FQ4 2005","Currency=USD","Period=FQ","BEST_FPERIOD_OVERRIDE=FQ","FILING_STATUS=OR","Sort=A","Dates=H","DateFormat=P","Fill=—","Direction=H","UseDPDF=Y")</f>
        <v>0</v>
      </c>
      <c r="AG58" s="13">
        <f>_xll.BDH("XOM US Equity","BS_OPTIONS_GRANTED","FQ1 2006","FQ1 2006","Currency=USD","Period=FQ","BEST_FPERIOD_OVERRIDE=FQ","FILING_STATUS=OR","Sort=A","Dates=H","DateFormat=P","Fill=—","Direction=H","UseDPDF=Y")</f>
        <v>0</v>
      </c>
      <c r="AH58" s="13">
        <f>_xll.BDH("XOM US Equity","BS_OPTIONS_GRANTED","FQ2 2006","FQ2 2006","Currency=USD","Period=FQ","BEST_FPERIOD_OVERRIDE=FQ","FILING_STATUS=OR","Sort=A","Dates=H","DateFormat=P","Fill=—","Direction=H","UseDPDF=Y")</f>
        <v>0</v>
      </c>
      <c r="AI58" s="13">
        <f>_xll.BDH("XOM US Equity","BS_OPTIONS_GRANTED","FQ3 2006","FQ3 2006","Currency=USD","Period=FQ","BEST_FPERIOD_OVERRIDE=FQ","FILING_STATUS=OR","Sort=A","Dates=H","DateFormat=P","Fill=—","Direction=H","UseDPDF=Y")</f>
        <v>0</v>
      </c>
      <c r="AJ58" s="13">
        <f>_xll.BDH("XOM US Equity","BS_OPTIONS_GRANTED","FQ4 2006","FQ4 2006","Currency=USD","Period=FQ","BEST_FPERIOD_OVERRIDE=FQ","FILING_STATUS=OR","Sort=A","Dates=H","DateFormat=P","Fill=—","Direction=H","UseDPDF=Y")</f>
        <v>0</v>
      </c>
      <c r="AK58" s="13">
        <f>_xll.BDH("XOM US Equity","BS_OPTIONS_GRANTED","FQ1 2007","FQ1 2007","Currency=USD","Period=FQ","BEST_FPERIOD_OVERRIDE=FQ","FILING_STATUS=OR","Sort=A","Dates=H","DateFormat=P","Fill=—","Direction=H","UseDPDF=Y")</f>
        <v>0</v>
      </c>
      <c r="AL58" s="13">
        <f>_xll.BDH("XOM US Equity","BS_OPTIONS_GRANTED","FQ2 2007","FQ2 2007","Currency=USD","Period=FQ","BEST_FPERIOD_OVERRIDE=FQ","FILING_STATUS=OR","Sort=A","Dates=H","DateFormat=P","Fill=—","Direction=H","UseDPDF=Y")</f>
        <v>0</v>
      </c>
      <c r="AM58" s="13">
        <f>_xll.BDH("XOM US Equity","BS_OPTIONS_GRANTED","FQ3 2007","FQ3 2007","Currency=USD","Period=FQ","BEST_FPERIOD_OVERRIDE=FQ","FILING_STATUS=OR","Sort=A","Dates=H","DateFormat=P","Fill=—","Direction=H","UseDPDF=Y")</f>
        <v>0</v>
      </c>
      <c r="AN58" s="13">
        <f>_xll.BDH("XOM US Equity","BS_OPTIONS_GRANTED","FQ4 2007","FQ4 2007","Currency=USD","Period=FQ","BEST_FPERIOD_OVERRIDE=FQ","FILING_STATUS=OR","Sort=A","Dates=H","DateFormat=P","Fill=—","Direction=H","UseDPDF=Y")</f>
        <v>0</v>
      </c>
      <c r="AO58" s="13">
        <f>_xll.BDH("XOM US Equity","BS_OPTIONS_GRANTED","FQ1 2008","FQ1 2008","Currency=USD","Period=FQ","BEST_FPERIOD_OVERRIDE=FQ","FILING_STATUS=OR","Sort=A","Dates=H","DateFormat=P","Fill=—","Direction=H","UseDPDF=Y")</f>
        <v>0</v>
      </c>
      <c r="AP58" s="13">
        <f>_xll.BDH("XOM US Equity","BS_OPTIONS_GRANTED","FQ2 2008","FQ2 2008","Currency=USD","Period=FQ","BEST_FPERIOD_OVERRIDE=FQ","FILING_STATUS=OR","Sort=A","Dates=H","DateFormat=P","Fill=—","Direction=H","UseDPDF=Y")</f>
        <v>0</v>
      </c>
    </row>
    <row r="59" spans="1:42" x14ac:dyDescent="0.25">
      <c r="A59" s="10" t="s">
        <v>271</v>
      </c>
      <c r="B59" s="10" t="s">
        <v>272</v>
      </c>
      <c r="C59" s="13" t="str">
        <f>_xll.BDH("XOM US Equity","BS_OPTIONS_OUTSTANDING","FQ3 1998","FQ3 1998","Currency=USD","Period=FQ","BEST_FPERIOD_OVERRIDE=FQ","FILING_STATUS=OR","Sort=A","Dates=H","DateFormat=P","Fill=—","Direction=H","UseDPDF=Y")</f>
        <v>—</v>
      </c>
      <c r="D59" s="13" t="str">
        <f>_xll.BDH("XOM US Equity","BS_OPTIONS_OUTSTANDING","FQ4 1998","FQ4 1998","Currency=USD","Period=FQ","BEST_FPERIOD_OVERRIDE=FQ","FILING_STATUS=OR","Sort=A","Dates=H","DateFormat=P","Fill=—","Direction=H","UseDPDF=Y")</f>
        <v>—</v>
      </c>
      <c r="E59" s="13" t="str">
        <f>_xll.BDH("XOM US Equity","BS_OPTIONS_OUTSTANDING","FQ1 1999","FQ1 1999","Currency=USD","Period=FQ","BEST_FPERIOD_OVERRIDE=FQ","FILING_STATUS=OR","Sort=A","Dates=H","DateFormat=P","Fill=—","Direction=H","UseDPDF=Y")</f>
        <v>—</v>
      </c>
      <c r="F59" s="13" t="str">
        <f>_xll.BDH("XOM US Equity","BS_OPTIONS_OUTSTANDING","FQ2 1999","FQ2 1999","Currency=USD","Period=FQ","BEST_FPERIOD_OVERRIDE=FQ","FILING_STATUS=OR","Sort=A","Dates=H","DateFormat=P","Fill=—","Direction=H","UseDPDF=Y")</f>
        <v>—</v>
      </c>
      <c r="G59" s="13" t="str">
        <f>_xll.BDH("XOM US Equity","BS_OPTIONS_OUTSTANDING","FQ3 1999","FQ3 1999","Currency=USD","Period=FQ","BEST_FPERIOD_OVERRIDE=FQ","FILING_STATUS=OR","Sort=A","Dates=H","DateFormat=P","Fill=—","Direction=H","UseDPDF=Y")</f>
        <v>—</v>
      </c>
      <c r="H59" s="13" t="str">
        <f>_xll.BDH("XOM US Equity","BS_OPTIONS_OUTSTANDING","FQ4 1999","FQ4 1999","Currency=USD","Period=FQ","BEST_FPERIOD_OVERRIDE=FQ","FILING_STATUS=OR","Sort=A","Dates=H","DateFormat=P","Fill=—","Direction=H","UseDPDF=Y")</f>
        <v>—</v>
      </c>
      <c r="I59" s="13" t="str">
        <f>_xll.BDH("XOM US Equity","BS_OPTIONS_OUTSTANDING","FQ1 2000","FQ1 2000","Currency=USD","Period=FQ","BEST_FPERIOD_OVERRIDE=FQ","FILING_STATUS=OR","Sort=A","Dates=H","DateFormat=P","Fill=—","Direction=H","UseDPDF=Y")</f>
        <v>—</v>
      </c>
      <c r="J59" s="13" t="str">
        <f>_xll.BDH("XOM US Equity","BS_OPTIONS_OUTSTANDING","FQ2 2000","FQ2 2000","Currency=USD","Period=FQ","BEST_FPERIOD_OVERRIDE=FQ","FILING_STATUS=OR","Sort=A","Dates=H","DateFormat=P","Fill=—","Direction=H","UseDPDF=Y")</f>
        <v>—</v>
      </c>
      <c r="K59" s="13" t="str">
        <f>_xll.BDH("XOM US Equity","BS_OPTIONS_OUTSTANDING","FQ3 2000","FQ3 2000","Currency=USD","Period=FQ","BEST_FPERIOD_OVERRIDE=FQ","FILING_STATUS=OR","Sort=A","Dates=H","DateFormat=P","Fill=—","Direction=H","UseDPDF=Y")</f>
        <v>—</v>
      </c>
      <c r="L59" s="13">
        <f>_xll.BDH("XOM US Equity","BS_OPTIONS_OUTSTANDING","FQ4 2000","FQ4 2000","Currency=USD","Period=FQ","BEST_FPERIOD_OVERRIDE=FQ","FILING_STATUS=OR","Sort=A","Dates=H","DateFormat=P","Fill=—","Direction=H","UseDPDF=Y")</f>
        <v>248.68</v>
      </c>
      <c r="M59" s="13" t="str">
        <f>_xll.BDH("XOM US Equity","BS_OPTIONS_OUTSTANDING","FQ1 2001","FQ1 2001","Currency=USD","Period=FQ","BEST_FPERIOD_OVERRIDE=FQ","FILING_STATUS=OR","Sort=A","Dates=H","DateFormat=P","Fill=—","Direction=H","UseDPDF=Y")</f>
        <v>—</v>
      </c>
      <c r="N59" s="13" t="str">
        <f>_xll.BDH("XOM US Equity","BS_OPTIONS_OUTSTANDING","FQ2 2001","FQ2 2001","Currency=USD","Period=FQ","BEST_FPERIOD_OVERRIDE=FQ","FILING_STATUS=OR","Sort=A","Dates=H","DateFormat=P","Fill=—","Direction=H","UseDPDF=Y")</f>
        <v>—</v>
      </c>
      <c r="O59" s="13" t="str">
        <f>_xll.BDH("XOM US Equity","BS_OPTIONS_OUTSTANDING","FQ3 2001","FQ3 2001","Currency=USD","Period=FQ","BEST_FPERIOD_OVERRIDE=FQ","FILING_STATUS=OR","Sort=A","Dates=H","DateFormat=P","Fill=—","Direction=H","UseDPDF=Y")</f>
        <v>—</v>
      </c>
      <c r="P59" s="13">
        <f>_xll.BDH("XOM US Equity","BS_OPTIONS_OUTSTANDING","FQ4 2001","FQ4 2001","Currency=USD","Period=FQ","BEST_FPERIOD_OVERRIDE=FQ","FILING_STATUS=OR","Sort=A","Dates=H","DateFormat=P","Fill=—","Direction=H","UseDPDF=Y")</f>
        <v>265.69499999999999</v>
      </c>
      <c r="Q59" s="13" t="str">
        <f>_xll.BDH("XOM US Equity","BS_OPTIONS_OUTSTANDING","FQ1 2002","FQ1 2002","Currency=USD","Period=FQ","BEST_FPERIOD_OVERRIDE=FQ","FILING_STATUS=OR","Sort=A","Dates=H","DateFormat=P","Fill=—","Direction=H","UseDPDF=Y")</f>
        <v>—</v>
      </c>
      <c r="R59" s="13" t="str">
        <f>_xll.BDH("XOM US Equity","BS_OPTIONS_OUTSTANDING","FQ2 2002","FQ2 2002","Currency=USD","Period=FQ","BEST_FPERIOD_OVERRIDE=FQ","FILING_STATUS=OR","Sort=A","Dates=H","DateFormat=P","Fill=—","Direction=H","UseDPDF=Y")</f>
        <v>—</v>
      </c>
      <c r="S59" s="13" t="str">
        <f>_xll.BDH("XOM US Equity","BS_OPTIONS_OUTSTANDING","FQ3 2002","FQ3 2002","Currency=USD","Period=FQ","BEST_FPERIOD_OVERRIDE=FQ","FILING_STATUS=OR","Sort=A","Dates=H","DateFormat=P","Fill=—","Direction=H","UseDPDF=Y")</f>
        <v>—</v>
      </c>
      <c r="T59" s="13">
        <f>_xll.BDH("XOM US Equity","BS_OPTIONS_OUTSTANDING","FQ4 2002","FQ4 2002","Currency=USD","Period=FQ","BEST_FPERIOD_OVERRIDE=FQ","FILING_STATUS=OR","Sort=A","Dates=H","DateFormat=P","Fill=—","Direction=H","UseDPDF=Y")</f>
        <v>246.995</v>
      </c>
      <c r="U59" s="13" t="str">
        <f>_xll.BDH("XOM US Equity","BS_OPTIONS_OUTSTANDING","FQ1 2003","FQ1 2003","Currency=USD","Period=FQ","BEST_FPERIOD_OVERRIDE=FQ","FILING_STATUS=OR","Sort=A","Dates=H","DateFormat=P","Fill=—","Direction=H","UseDPDF=Y")</f>
        <v>—</v>
      </c>
      <c r="V59" s="13" t="str">
        <f>_xll.BDH("XOM US Equity","BS_OPTIONS_OUTSTANDING","FQ2 2003","FQ2 2003","Currency=USD","Period=FQ","BEST_FPERIOD_OVERRIDE=FQ","FILING_STATUS=OR","Sort=A","Dates=H","DateFormat=P","Fill=—","Direction=H","UseDPDF=Y")</f>
        <v>—</v>
      </c>
      <c r="W59" s="13" t="str">
        <f>_xll.BDH("XOM US Equity","BS_OPTIONS_OUTSTANDING","FQ3 2003","FQ3 2003","Currency=USD","Period=FQ","BEST_FPERIOD_OVERRIDE=FQ","FILING_STATUS=OR","Sort=A","Dates=H","DateFormat=P","Fill=—","Direction=H","UseDPDF=Y")</f>
        <v>—</v>
      </c>
      <c r="X59" s="13">
        <f>_xll.BDH("XOM US Equity","BS_OPTIONS_OUTSTANDING","FQ4 2003","FQ4 2003","Currency=USD","Period=FQ","BEST_FPERIOD_OVERRIDE=FQ","FILING_STATUS=OR","Sort=A","Dates=H","DateFormat=P","Fill=—","Direction=H","UseDPDF=Y")</f>
        <v>223.75</v>
      </c>
      <c r="Y59" s="13" t="str">
        <f>_xll.BDH("XOM US Equity","BS_OPTIONS_OUTSTANDING","FQ1 2004","FQ1 2004","Currency=USD","Period=FQ","BEST_FPERIOD_OVERRIDE=FQ","FILING_STATUS=OR","Sort=A","Dates=H","DateFormat=P","Fill=—","Direction=H","UseDPDF=Y")</f>
        <v>—</v>
      </c>
      <c r="Z59" s="13" t="str">
        <f>_xll.BDH("XOM US Equity","BS_OPTIONS_OUTSTANDING","FQ2 2004","FQ2 2004","Currency=USD","Period=FQ","BEST_FPERIOD_OVERRIDE=FQ","FILING_STATUS=OR","Sort=A","Dates=H","DateFormat=P","Fill=—","Direction=H","UseDPDF=Y")</f>
        <v>—</v>
      </c>
      <c r="AA59" s="13" t="str">
        <f>_xll.BDH("XOM US Equity","BS_OPTIONS_OUTSTANDING","FQ3 2004","FQ3 2004","Currency=USD","Period=FQ","BEST_FPERIOD_OVERRIDE=FQ","FILING_STATUS=OR","Sort=A","Dates=H","DateFormat=P","Fill=—","Direction=H","UseDPDF=Y")</f>
        <v>—</v>
      </c>
      <c r="AB59" s="13">
        <f>_xll.BDH("XOM US Equity","BS_OPTIONS_OUTSTANDING","FQ4 2004","FQ4 2004","Currency=USD","Period=FQ","BEST_FPERIOD_OVERRIDE=FQ","FILING_STATUS=OR","Sort=A","Dates=H","DateFormat=P","Fill=—","Direction=H","UseDPDF=Y")</f>
        <v>180.91200000000001</v>
      </c>
      <c r="AC59" s="13" t="str">
        <f>_xll.BDH("XOM US Equity","BS_OPTIONS_OUTSTANDING","FQ1 2005","FQ1 2005","Currency=USD","Period=FQ","BEST_FPERIOD_OVERRIDE=FQ","FILING_STATUS=OR","Sort=A","Dates=H","DateFormat=P","Fill=—","Direction=H","UseDPDF=Y")</f>
        <v>—</v>
      </c>
      <c r="AD59" s="13" t="str">
        <f>_xll.BDH("XOM US Equity","BS_OPTIONS_OUTSTANDING","FQ2 2005","FQ2 2005","Currency=USD","Period=FQ","BEST_FPERIOD_OVERRIDE=FQ","FILING_STATUS=OR","Sort=A","Dates=H","DateFormat=P","Fill=—","Direction=H","UseDPDF=Y")</f>
        <v>—</v>
      </c>
      <c r="AE59" s="13" t="str">
        <f>_xll.BDH("XOM US Equity","BS_OPTIONS_OUTSTANDING","FQ3 2005","FQ3 2005","Currency=USD","Period=FQ","BEST_FPERIOD_OVERRIDE=FQ","FILING_STATUS=OR","Sort=A","Dates=H","DateFormat=P","Fill=—","Direction=H","UseDPDF=Y")</f>
        <v>—</v>
      </c>
      <c r="AF59" s="13">
        <f>_xll.BDH("XOM US Equity","BS_OPTIONS_OUTSTANDING","FQ4 2005","FQ4 2005","Currency=USD","Period=FQ","BEST_FPERIOD_OVERRIDE=FQ","FILING_STATUS=OR","Sort=A","Dates=H","DateFormat=P","Fill=—","Direction=H","UseDPDF=Y")</f>
        <v>147.774</v>
      </c>
      <c r="AG59" s="13">
        <f>_xll.BDH("XOM US Equity","BS_OPTIONS_OUTSTANDING","FQ1 2006","FQ1 2006","Currency=USD","Period=FQ","BEST_FPERIOD_OVERRIDE=FQ","FILING_STATUS=OR","Sort=A","Dates=H","DateFormat=P","Fill=—","Direction=H","UseDPDF=Y")</f>
        <v>140.61199999999999</v>
      </c>
      <c r="AH59" s="13">
        <f>_xll.BDH("XOM US Equity","BS_OPTIONS_OUTSTANDING","FQ2 2006","FQ2 2006","Currency=USD","Period=FQ","BEST_FPERIOD_OVERRIDE=FQ","FILING_STATUS=OR","Sort=A","Dates=H","DateFormat=P","Fill=—","Direction=H","UseDPDF=Y")</f>
        <v>134.327</v>
      </c>
      <c r="AI59" s="13">
        <f>_xll.BDH("XOM US Equity","BS_OPTIONS_OUTSTANDING","FQ3 2006","FQ3 2006","Currency=USD","Period=FQ","BEST_FPERIOD_OVERRIDE=FQ","FILING_STATUS=OR","Sort=A","Dates=H","DateFormat=P","Fill=—","Direction=H","UseDPDF=Y")</f>
        <v>120.72499999999999</v>
      </c>
      <c r="AJ59" s="13">
        <f>_xll.BDH("XOM US Equity","BS_OPTIONS_OUTSTANDING","FQ4 2006","FQ4 2006","Currency=USD","Period=FQ","BEST_FPERIOD_OVERRIDE=FQ","FILING_STATUS=OR","Sort=A","Dates=H","DateFormat=P","Fill=—","Direction=H","UseDPDF=Y")</f>
        <v>110.48699999999999</v>
      </c>
      <c r="AK59" s="13" t="str">
        <f>_xll.BDH("XOM US Equity","BS_OPTIONS_OUTSTANDING","FQ1 2007","FQ1 2007","Currency=USD","Period=FQ","BEST_FPERIOD_OVERRIDE=FQ","FILING_STATUS=OR","Sort=A","Dates=H","DateFormat=P","Fill=—","Direction=H","UseDPDF=Y")</f>
        <v>—</v>
      </c>
      <c r="AL59" s="13" t="str">
        <f>_xll.BDH("XOM US Equity","BS_OPTIONS_OUTSTANDING","FQ2 2007","FQ2 2007","Currency=USD","Period=FQ","BEST_FPERIOD_OVERRIDE=FQ","FILING_STATUS=OR","Sort=A","Dates=H","DateFormat=P","Fill=—","Direction=H","UseDPDF=Y")</f>
        <v>—</v>
      </c>
      <c r="AM59" s="13" t="str">
        <f>_xll.BDH("XOM US Equity","BS_OPTIONS_OUTSTANDING","FQ3 2007","FQ3 2007","Currency=USD","Period=FQ","BEST_FPERIOD_OVERRIDE=FQ","FILING_STATUS=OR","Sort=A","Dates=H","DateFormat=P","Fill=—","Direction=H","UseDPDF=Y")</f>
        <v>—</v>
      </c>
      <c r="AN59" s="13">
        <f>_xll.BDH("XOM US Equity","BS_OPTIONS_OUTSTANDING","FQ4 2007","FQ4 2007","Currency=USD","Period=FQ","BEST_FPERIOD_OVERRIDE=FQ","FILING_STATUS=OR","Sort=A","Dates=H","DateFormat=P","Fill=—","Direction=H","UseDPDF=Y")</f>
        <v>80.289000000000001</v>
      </c>
      <c r="AO59" s="13" t="str">
        <f>_xll.BDH("XOM US Equity","BS_OPTIONS_OUTSTANDING","FQ1 2008","FQ1 2008","Currency=USD","Period=FQ","BEST_FPERIOD_OVERRIDE=FQ","FILING_STATUS=OR","Sort=A","Dates=H","DateFormat=P","Fill=—","Direction=H","UseDPDF=Y")</f>
        <v>—</v>
      </c>
      <c r="AP59" s="13" t="str">
        <f>_xll.BDH("XOM US Equity","BS_OPTIONS_OUTSTANDING","FQ2 2008","FQ2 2008","Currency=USD","Period=FQ","BEST_FPERIOD_OVERRIDE=FQ","FILING_STATUS=OR","Sort=A","Dates=H","DateFormat=P","Fill=—","Direction=H","UseDPDF=Y")</f>
        <v>—</v>
      </c>
    </row>
    <row r="60" spans="1:42" x14ac:dyDescent="0.25">
      <c r="A60" s="10" t="s">
        <v>273</v>
      </c>
      <c r="B60" s="10" t="s">
        <v>274</v>
      </c>
      <c r="C60" s="13">
        <f>_xll.BDH("XOM US Equity","NET_DEBT","FQ3 1998","FQ3 1998","Currency=USD","Period=FQ","BEST_FPERIOD_OVERRIDE=FQ","FILING_STATUS=OR","SCALING_FORMAT=MLN","Sort=A","Dates=H","DateFormat=P","Fill=—","Direction=H","UseDPDF=Y")</f>
        <v>7342</v>
      </c>
      <c r="D60" s="13">
        <f>_xll.BDH("XOM US Equity","NET_DEBT","FQ4 1998","FQ4 1998","Currency=USD","Period=FQ","BEST_FPERIOD_OVERRIDE=FQ","FILING_STATUS=OR","SCALING_FORMAT=MLN","Sort=A","Dates=H","DateFormat=P","Fill=—","Direction=H","UseDPDF=Y")</f>
        <v>7317</v>
      </c>
      <c r="E60" s="13">
        <f>_xll.BDH("XOM US Equity","NET_DEBT","FQ1 1999","FQ1 1999","Currency=USD","Period=FQ","BEST_FPERIOD_OVERRIDE=FQ","FILING_STATUS=OR","SCALING_FORMAT=MLN","Sort=A","Dates=H","DateFormat=P","Fill=—","Direction=H","UseDPDF=Y")</f>
        <v>6995</v>
      </c>
      <c r="F60" s="13">
        <f>_xll.BDH("XOM US Equity","NET_DEBT","FQ2 1999","FQ2 1999","Currency=USD","Period=FQ","BEST_FPERIOD_OVERRIDE=FQ","FILING_STATUS=OR","SCALING_FORMAT=MLN","Sort=A","Dates=H","DateFormat=P","Fill=—","Direction=H","UseDPDF=Y")</f>
        <v>7919</v>
      </c>
      <c r="G60" s="13">
        <f>_xll.BDH("XOM US Equity","NET_DEBT","FQ3 1999","FQ3 1999","Currency=USD","Period=FQ","BEST_FPERIOD_OVERRIDE=FQ","FILING_STATUS=OR","SCALING_FORMAT=MLN","Sort=A","Dates=H","DateFormat=P","Fill=—","Direction=H","UseDPDF=Y")</f>
        <v>8055</v>
      </c>
      <c r="H60" s="13">
        <f>_xll.BDH("XOM US Equity","NET_DEBT","FQ4 1999","FQ4 1999","Currency=USD","Period=FQ","BEST_FPERIOD_OVERRIDE=FQ","FILING_STATUS=OR","SCALING_FORMAT=MLN","Sort=A","Dates=H","DateFormat=P","Fill=—","Direction=H","UseDPDF=Y")</f>
        <v>17211</v>
      </c>
      <c r="I60" s="13">
        <f>_xll.BDH("XOM US Equity","NET_DEBT","FQ1 2000","FQ1 2000","Currency=USD","Period=FQ","BEST_FPERIOD_OVERRIDE=FQ","FILING_STATUS=OR","SCALING_FORMAT=MLN","Sort=A","Dates=H","DateFormat=P","Fill=—","Direction=H","UseDPDF=Y")</f>
        <v>12394</v>
      </c>
      <c r="J60" s="13">
        <f>_xll.BDH("XOM US Equity","NET_DEBT","FQ2 2000","FQ2 2000","Currency=USD","Period=FQ","BEST_FPERIOD_OVERRIDE=FQ","FILING_STATUS=OR","SCALING_FORMAT=MLN","Sort=A","Dates=H","DateFormat=P","Fill=—","Direction=H","UseDPDF=Y")</f>
        <v>8763</v>
      </c>
      <c r="K60" s="13">
        <f>_xll.BDH("XOM US Equity","NET_DEBT","FQ3 2000","FQ3 2000","Currency=USD","Period=FQ","BEST_FPERIOD_OVERRIDE=FQ","FILING_STATUS=OR","SCALING_FORMAT=MLN","Sort=A","Dates=H","DateFormat=P","Fill=—","Direction=H","UseDPDF=Y")</f>
        <v>7595</v>
      </c>
      <c r="L60" s="13">
        <f>_xll.BDH("XOM US Equity","NET_DEBT","FQ4 2000","FQ4 2000","Currency=USD","Period=FQ","BEST_FPERIOD_OVERRIDE=FQ","FILING_STATUS=OR","SCALING_FORMAT=MLN","Sort=A","Dates=H","DateFormat=P","Fill=—","Direction=H","UseDPDF=Y")</f>
        <v>6360</v>
      </c>
      <c r="M60" s="13">
        <f>_xll.BDH("XOM US Equity","NET_DEBT","FQ1 2001","FQ1 2001","Currency=USD","Period=FQ","BEST_FPERIOD_OVERRIDE=FQ","FILING_STATUS=OR","SCALING_FORMAT=MLN","Sort=A","Dates=H","DateFormat=P","Fill=—","Direction=H","UseDPDF=Y")</f>
        <v>1924</v>
      </c>
      <c r="N60" s="13">
        <f>_xll.BDH("XOM US Equity","NET_DEBT","FQ2 2001","FQ2 2001","Currency=USD","Period=FQ","BEST_FPERIOD_OVERRIDE=FQ","FILING_STATUS=OR","SCALING_FORMAT=MLN","Sort=A","Dates=H","DateFormat=P","Fill=—","Direction=H","UseDPDF=Y")</f>
        <v>1881</v>
      </c>
      <c r="O60" s="13">
        <f>_xll.BDH("XOM US Equity","NET_DEBT","FQ3 2001","FQ3 2001","Currency=USD","Period=FQ","BEST_FPERIOD_OVERRIDE=FQ","FILING_STATUS=OR","SCALING_FORMAT=MLN","Sort=A","Dates=H","DateFormat=P","Fill=—","Direction=H","UseDPDF=Y")</f>
        <v>2107</v>
      </c>
      <c r="P60" s="13">
        <f>_xll.BDH("XOM US Equity","NET_DEBT","FQ4 2001","FQ4 2001","Currency=USD","Period=FQ","BEST_FPERIOD_OVERRIDE=FQ","FILING_STATUS=OR","SCALING_FORMAT=MLN","Sort=A","Dates=H","DateFormat=P","Fill=—","Direction=H","UseDPDF=Y")</f>
        <v>4255</v>
      </c>
      <c r="Q60" s="13">
        <f>_xll.BDH("XOM US Equity","NET_DEBT","FQ1 2002","FQ1 2002","Currency=USD","Period=FQ","BEST_FPERIOD_OVERRIDE=FQ","FILING_STATUS=OR","SCALING_FORMAT=MLN","Sort=A","Dates=H","DateFormat=P","Fill=—","Direction=H","UseDPDF=Y")</f>
        <v>3891</v>
      </c>
      <c r="R60" s="13">
        <f>_xll.BDH("XOM US Equity","NET_DEBT","FQ2 2002","FQ2 2002","Currency=USD","Period=FQ","BEST_FPERIOD_OVERRIDE=FQ","FILING_STATUS=OR","SCALING_FORMAT=MLN","Sort=A","Dates=H","DateFormat=P","Fill=—","Direction=H","UseDPDF=Y")</f>
        <v>5609</v>
      </c>
      <c r="S60" s="13">
        <f>_xll.BDH("XOM US Equity","NET_DEBT","FQ3 2002","FQ3 2002","Currency=USD","Period=FQ","BEST_FPERIOD_OVERRIDE=FQ","FILING_STATUS=OR","SCALING_FORMAT=MLN","Sort=A","Dates=H","DateFormat=P","Fill=—","Direction=H","UseDPDF=Y")</f>
        <v>3946</v>
      </c>
      <c r="T60" s="13">
        <f>_xll.BDH("XOM US Equity","NET_DEBT","FQ4 2002","FQ4 2002","Currency=USD","Period=FQ","BEST_FPERIOD_OVERRIDE=FQ","FILING_STATUS=OR","SCALING_FORMAT=MLN","Sort=A","Dates=H","DateFormat=P","Fill=—","Direction=H","UseDPDF=Y")</f>
        <v>3519</v>
      </c>
      <c r="U60" s="13">
        <f>_xll.BDH("XOM US Equity","NET_DEBT","FQ1 2003","FQ1 2003","Currency=USD","Period=FQ","BEST_FPERIOD_OVERRIDE=FQ","FILING_STATUS=OR","SCALING_FORMAT=MLN","Sort=A","Dates=H","DateFormat=P","Fill=—","Direction=H","UseDPDF=Y")</f>
        <v>-1667</v>
      </c>
      <c r="V60" s="13">
        <f>_xll.BDH("XOM US Equity","NET_DEBT","FQ2 2003","FQ2 2003","Currency=USD","Period=FQ","BEST_FPERIOD_OVERRIDE=FQ","FILING_STATUS=OR","SCALING_FORMAT=MLN","Sort=A","Dates=H","DateFormat=P","Fill=—","Direction=H","UseDPDF=Y")</f>
        <v>-2383</v>
      </c>
      <c r="W60" s="13">
        <f>_xll.BDH("XOM US Equity","NET_DEBT","FQ3 2003","FQ3 2003","Currency=USD","Period=FQ","BEST_FPERIOD_OVERRIDE=FQ","FILING_STATUS=OR","SCALING_FORMAT=MLN","Sort=A","Dates=H","DateFormat=P","Fill=—","Direction=H","UseDPDF=Y")</f>
        <v>-1396</v>
      </c>
      <c r="X60" s="13">
        <f>_xll.BDH("XOM US Equity","NET_DEBT","FQ4 2003","FQ4 2003","Currency=USD","Period=FQ","BEST_FPERIOD_OVERRIDE=FQ","FILING_STATUS=OR","SCALING_FORMAT=MLN","Sort=A","Dates=H","DateFormat=P","Fill=—","Direction=H","UseDPDF=Y")</f>
        <v>-1081</v>
      </c>
      <c r="Y60" s="13">
        <f>_xll.BDH("XOM US Equity","NET_DEBT","FQ1 2004","FQ1 2004","Currency=USD","Period=FQ","BEST_FPERIOD_OVERRIDE=FQ","FILING_STATUS=OR","SCALING_FORMAT=MLN","Sort=A","Dates=H","DateFormat=P","Fill=—","Direction=H","UseDPDF=Y")</f>
        <v>-5925</v>
      </c>
      <c r="Z60" s="13">
        <f>_xll.BDH("XOM US Equity","NET_DEBT","FQ2 2004","FQ2 2004","Currency=USD","Period=FQ","BEST_FPERIOD_OVERRIDE=FQ","FILING_STATUS=OR","SCALING_FORMAT=MLN","Sort=A","Dates=H","DateFormat=P","Fill=—","Direction=H","UseDPDF=Y")</f>
        <v>-4347</v>
      </c>
      <c r="AA60" s="13">
        <f>_xll.BDH("XOM US Equity","NET_DEBT","FQ3 2004","FQ3 2004","Currency=USD","Period=FQ","BEST_FPERIOD_OVERRIDE=FQ","FILING_STATUS=OR","SCALING_FORMAT=MLN","Sort=A","Dates=H","DateFormat=P","Fill=—","Direction=H","UseDPDF=Y")</f>
        <v>-5999</v>
      </c>
      <c r="AB60" s="13">
        <f>_xll.BDH("XOM US Equity","NET_DEBT","FQ4 2004","FQ4 2004","Currency=USD","Period=FQ","BEST_FPERIOD_OVERRIDE=FQ","FILING_STATUS=OR","SCALING_FORMAT=MLN","Sort=A","Dates=H","DateFormat=P","Fill=—","Direction=H","UseDPDF=Y")</f>
        <v>-10238</v>
      </c>
      <c r="AC60" s="13">
        <f>_xll.BDH("XOM US Equity","NET_DEBT","FQ1 2005","FQ1 2005","Currency=USD","Period=FQ","BEST_FPERIOD_OVERRIDE=FQ","FILING_STATUS=OR","SCALING_FORMAT=MLN","Sort=A","Dates=H","DateFormat=P","Fill=—","Direction=H","UseDPDF=Y")</f>
        <v>-16841</v>
      </c>
      <c r="AD60" s="13">
        <f>_xll.BDH("XOM US Equity","NET_DEBT","FQ2 2005","FQ2 2005","Currency=USD","Period=FQ","BEST_FPERIOD_OVERRIDE=FQ","FILING_STATUS=OR","SCALING_FORMAT=MLN","Sort=A","Dates=H","DateFormat=P","Fill=—","Direction=H","UseDPDF=Y")</f>
        <v>-16562</v>
      </c>
      <c r="AE60" s="13">
        <f>_xll.BDH("XOM US Equity","NET_DEBT","FQ3 2005","FQ3 2005","Currency=USD","Period=FQ","BEST_FPERIOD_OVERRIDE=FQ","FILING_STATUS=OR","SCALING_FORMAT=MLN","Sort=A","Dates=H","DateFormat=P","Fill=—","Direction=H","UseDPDF=Y")</f>
        <v>-20783</v>
      </c>
      <c r="AF60" s="13">
        <f>_xll.BDH("XOM US Equity","NET_DEBT","FQ4 2005","FQ4 2005","Currency=USD","Period=FQ","BEST_FPERIOD_OVERRIDE=FQ","FILING_STATUS=OR","SCALING_FORMAT=MLN","Sort=A","Dates=H","DateFormat=P","Fill=—","Direction=H","UseDPDF=Y")</f>
        <v>-20680</v>
      </c>
      <c r="AG60" s="13">
        <f>_xll.BDH("XOM US Equity","NET_DEBT","FQ1 2006","FQ1 2006","Currency=USD","Period=FQ","BEST_FPERIOD_OVERRIDE=FQ","FILING_STATUS=OR","SCALING_FORMAT=MLN","Sort=A","Dates=H","DateFormat=P","Fill=—","Direction=H","UseDPDF=Y")</f>
        <v>-23951</v>
      </c>
      <c r="AH60" s="13">
        <f>_xll.BDH("XOM US Equity","NET_DEBT","FQ2 2006","FQ2 2006","Currency=USD","Period=FQ","BEST_FPERIOD_OVERRIDE=FQ","FILING_STATUS=OR","SCALING_FORMAT=MLN","Sort=A","Dates=H","DateFormat=P","Fill=—","Direction=H","UseDPDF=Y")</f>
        <v>-23756</v>
      </c>
      <c r="AI60" s="13">
        <f>_xll.BDH("XOM US Equity","NET_DEBT","FQ3 2006","FQ3 2006","Currency=USD","Period=FQ","BEST_FPERIOD_OVERRIDE=FQ","FILING_STATUS=OR","SCALING_FORMAT=MLN","Sort=A","Dates=H","DateFormat=P","Fill=—","Direction=H","UseDPDF=Y")</f>
        <v>-24145</v>
      </c>
      <c r="AJ60" s="13">
        <f>_xll.BDH("XOM US Equity","NET_DEBT","FQ4 2006","FQ4 2006","Currency=USD","Period=FQ","BEST_FPERIOD_OVERRIDE=FQ","FILING_STATUS=OR","SCALING_FORMAT=MLN","Sort=A","Dates=H","DateFormat=P","Fill=—","Direction=H","UseDPDF=Y")</f>
        <v>-19897</v>
      </c>
      <c r="AK60" s="13">
        <f>_xll.BDH("XOM US Equity","NET_DEBT","FQ1 2007","FQ1 2007","Currency=USD","Period=FQ","BEST_FPERIOD_OVERRIDE=FQ","FILING_STATUS=OR","SCALING_FORMAT=MLN","Sort=A","Dates=H","DateFormat=P","Fill=—","Direction=H","UseDPDF=Y")</f>
        <v>-21230</v>
      </c>
      <c r="AL60" s="13">
        <f>_xll.BDH("XOM US Equity","NET_DEBT","FQ2 2007","FQ2 2007","Currency=USD","Period=FQ","BEST_FPERIOD_OVERRIDE=FQ","FILING_STATUS=OR","SCALING_FORMAT=MLN","Sort=A","Dates=H","DateFormat=P","Fill=—","Direction=H","UseDPDF=Y")</f>
        <v>-20169</v>
      </c>
      <c r="AM60" s="13">
        <f>_xll.BDH("XOM US Equity","NET_DEBT","FQ3 2007","FQ3 2007","Currency=USD","Period=FQ","BEST_FPERIOD_OVERRIDE=FQ","FILING_STATUS=OR","SCALING_FORMAT=MLN","Sort=A","Dates=H","DateFormat=P","Fill=—","Direction=H","UseDPDF=Y")</f>
        <v>-22622</v>
      </c>
      <c r="AN60" s="13">
        <f>_xll.BDH("XOM US Equity","NET_DEBT","FQ4 2007","FQ4 2007","Currency=USD","Period=FQ","BEST_FPERIOD_OVERRIDE=FQ","FILING_STATUS=OR","SCALING_FORMAT=MLN","Sort=A","Dates=H","DateFormat=P","Fill=—","Direction=H","UseDPDF=Y")</f>
        <v>-24934</v>
      </c>
      <c r="AO60" s="13">
        <f>_xll.BDH("XOM US Equity","NET_DEBT","FQ1 2008","FQ1 2008","Currency=USD","Period=FQ","BEST_FPERIOD_OVERRIDE=FQ","FILING_STATUS=OR","SCALING_FORMAT=MLN","Sort=A","Dates=H","DateFormat=P","Fill=—","Direction=H","UseDPDF=Y")</f>
        <v>-31387</v>
      </c>
      <c r="AP60" s="13">
        <f>_xll.BDH("XOM US Equity","NET_DEBT","FQ2 2008","FQ2 2008","Currency=USD","Period=FQ","BEST_FPERIOD_OVERRIDE=FQ","FILING_STATUS=OR","SCALING_FORMAT=MLN","Sort=A","Dates=H","DateFormat=P","Fill=—","Direction=H","UseDPDF=Y")</f>
        <v>-30063</v>
      </c>
    </row>
    <row r="61" spans="1:42" x14ac:dyDescent="0.25">
      <c r="A61" s="10" t="s">
        <v>275</v>
      </c>
      <c r="B61" s="10" t="s">
        <v>276</v>
      </c>
      <c r="C61" s="14">
        <f>_xll.BDH("XOM US Equity","NET_DEBT_TO_SHRHLDR_EQTY","FQ3 1998","FQ3 1998","Currency=USD","Period=FQ","BEST_FPERIOD_OVERRIDE=FQ","FILING_STATUS=OR","Sort=A","Dates=H","DateFormat=P","Fill=—","Direction=H","UseDPDF=Y")</f>
        <v>16.730499999999999</v>
      </c>
      <c r="D61" s="14">
        <f>_xll.BDH("XOM US Equity","NET_DEBT_TO_SHRHLDR_EQTY","FQ4 1998","FQ4 1998","Currency=USD","Period=FQ","BEST_FPERIOD_OVERRIDE=FQ","FILING_STATUS=OR","Sort=A","Dates=H","DateFormat=P","Fill=—","Direction=H","UseDPDF=Y")</f>
        <v>16.061199999999999</v>
      </c>
      <c r="E61" s="14">
        <f>_xll.BDH("XOM US Equity","NET_DEBT_TO_SHRHLDR_EQTY","FQ1 1999","FQ1 1999","Currency=USD","Period=FQ","BEST_FPERIOD_OVERRIDE=FQ","FILING_STATUS=OR","Sort=A","Dates=H","DateFormat=P","Fill=—","Direction=H","UseDPDF=Y")</f>
        <v>16.2667</v>
      </c>
      <c r="F61" s="14">
        <f>_xll.BDH("XOM US Equity","NET_DEBT_TO_SHRHLDR_EQTY","FQ2 1999","FQ2 1999","Currency=USD","Period=FQ","BEST_FPERIOD_OVERRIDE=FQ","FILING_STATUS=OR","Sort=A","Dates=H","DateFormat=P","Fill=—","Direction=H","UseDPDF=Y")</f>
        <v>18.489799999999999</v>
      </c>
      <c r="G61" s="14">
        <f>_xll.BDH("XOM US Equity","NET_DEBT_TO_SHRHLDR_EQTY","FQ3 1999","FQ3 1999","Currency=USD","Period=FQ","BEST_FPERIOD_OVERRIDE=FQ","FILING_STATUS=OR","Sort=A","Dates=H","DateFormat=P","Fill=—","Direction=H","UseDPDF=Y")</f>
        <v>18.376100000000001</v>
      </c>
      <c r="H61" s="14">
        <f>_xll.BDH("XOM US Equity","NET_DEBT_TO_SHRHLDR_EQTY","FQ4 1999","FQ4 1999","Currency=USD","Period=FQ","BEST_FPERIOD_OVERRIDE=FQ","FILING_STATUS=OR","Sort=A","Dates=H","DateFormat=P","Fill=—","Direction=H","UseDPDF=Y")</f>
        <v>25.629200000000001</v>
      </c>
      <c r="I61" s="14">
        <f>_xll.BDH("XOM US Equity","NET_DEBT_TO_SHRHLDR_EQTY","FQ1 2000","FQ1 2000","Currency=USD","Period=FQ","BEST_FPERIOD_OVERRIDE=FQ","FILING_STATUS=OR","Sort=A","Dates=H","DateFormat=P","Fill=—","Direction=H","UseDPDF=Y")</f>
        <v>19.1843</v>
      </c>
      <c r="J61" s="14">
        <f>_xll.BDH("XOM US Equity","NET_DEBT_TO_SHRHLDR_EQTY","FQ2 2000","FQ2 2000","Currency=USD","Period=FQ","BEST_FPERIOD_OVERRIDE=FQ","FILING_STATUS=OR","Sort=A","Dates=H","DateFormat=P","Fill=—","Direction=H","UseDPDF=Y")</f>
        <v>13.0916</v>
      </c>
      <c r="K61" s="14">
        <f>_xll.BDH("XOM US Equity","NET_DEBT_TO_SHRHLDR_EQTY","FQ3 2000","FQ3 2000","Currency=USD","Period=FQ","BEST_FPERIOD_OVERRIDE=FQ","FILING_STATUS=OR","Sort=A","Dates=H","DateFormat=P","Fill=—","Direction=H","UseDPDF=Y")</f>
        <v>11.1509</v>
      </c>
      <c r="L61" s="14">
        <f>_xll.BDH("XOM US Equity","NET_DEBT_TO_SHRHLDR_EQTY","FQ4 2000","FQ4 2000","Currency=USD","Period=FQ","BEST_FPERIOD_OVERRIDE=FQ","FILING_STATUS=OR","Sort=A","Dates=H","DateFormat=P","Fill=—","Direction=H","UseDPDF=Y")</f>
        <v>8.5960999999999999</v>
      </c>
      <c r="M61" s="14">
        <f>_xll.BDH("XOM US Equity","NET_DEBT_TO_SHRHLDR_EQTY","FQ1 2001","FQ1 2001","Currency=USD","Period=FQ","BEST_FPERIOD_OVERRIDE=FQ","FILING_STATUS=OR","Sort=A","Dates=H","DateFormat=P","Fill=—","Direction=H","UseDPDF=Y")</f>
        <v>2.6762999999999999</v>
      </c>
      <c r="N61" s="14">
        <f>_xll.BDH("XOM US Equity","NET_DEBT_TO_SHRHLDR_EQTY","FQ2 2001","FQ2 2001","Currency=USD","Period=FQ","BEST_FPERIOD_OVERRIDE=FQ","FILING_STATUS=OR","Sort=A","Dates=H","DateFormat=P","Fill=—","Direction=H","UseDPDF=Y")</f>
        <v>2.5775999999999999</v>
      </c>
      <c r="O61" s="14">
        <f>_xll.BDH("XOM US Equity","NET_DEBT_TO_SHRHLDR_EQTY","FQ3 2001","FQ3 2001","Currency=USD","Period=FQ","BEST_FPERIOD_OVERRIDE=FQ","FILING_STATUS=OR","Sort=A","Dates=H","DateFormat=P","Fill=—","Direction=H","UseDPDF=Y")</f>
        <v>2.8540000000000001</v>
      </c>
      <c r="P61" s="14">
        <f>_xll.BDH("XOM US Equity","NET_DEBT_TO_SHRHLDR_EQTY","FQ4 2001","FQ4 2001","Currency=USD","Period=FQ","BEST_FPERIOD_OVERRIDE=FQ","FILING_STATUS=OR","Sort=A","Dates=H","DateFormat=P","Fill=—","Direction=H","UseDPDF=Y")</f>
        <v>5.5997000000000003</v>
      </c>
      <c r="Q61" s="14">
        <f>_xll.BDH("XOM US Equity","NET_DEBT_TO_SHRHLDR_EQTY","FQ1 2002","FQ1 2002","Currency=USD","Period=FQ","BEST_FPERIOD_OVERRIDE=FQ","FILING_STATUS=OR","Sort=A","Dates=H","DateFormat=P","Fill=—","Direction=H","UseDPDF=Y")</f>
        <v>5.3768000000000002</v>
      </c>
      <c r="R61" s="14">
        <f>_xll.BDH("XOM US Equity","NET_DEBT_TO_SHRHLDR_EQTY","FQ2 2002","FQ2 2002","Currency=USD","Period=FQ","BEST_FPERIOD_OVERRIDE=FQ","FILING_STATUS=OR","Sort=A","Dates=H","DateFormat=P","Fill=—","Direction=H","UseDPDF=Y")</f>
        <v>7.4668999999999999</v>
      </c>
      <c r="S61" s="14">
        <f>_xll.BDH("XOM US Equity","NET_DEBT_TO_SHRHLDR_EQTY","FQ3 2002","FQ3 2002","Currency=USD","Period=FQ","BEST_FPERIOD_OVERRIDE=FQ","FILING_STATUS=OR","Sort=A","Dates=H","DateFormat=P","Fill=—","Direction=H","UseDPDF=Y")</f>
        <v>5.2831999999999999</v>
      </c>
      <c r="T61" s="14">
        <f>_xll.BDH("XOM US Equity","NET_DEBT_TO_SHRHLDR_EQTY","FQ4 2002","FQ4 2002","Currency=USD","Period=FQ","BEST_FPERIOD_OVERRIDE=FQ","FILING_STATUS=OR","Sort=A","Dates=H","DateFormat=P","Fill=—","Direction=H","UseDPDF=Y")</f>
        <v>4.5486000000000004</v>
      </c>
      <c r="U61" s="14">
        <f>_xll.BDH("XOM US Equity","NET_DEBT_TO_SHRHLDR_EQTY","FQ1 2003","FQ1 2003","Currency=USD","Period=FQ","BEST_FPERIOD_OVERRIDE=FQ","FILING_STATUS=OR","Sort=A","Dates=H","DateFormat=P","Fill=—","Direction=H","UseDPDF=Y")</f>
        <v>-2.0945999999999998</v>
      </c>
      <c r="V61" s="14">
        <f>_xll.BDH("XOM US Equity","NET_DEBT_TO_SHRHLDR_EQTY","FQ2 2003","FQ2 2003","Currency=USD","Period=FQ","BEST_FPERIOD_OVERRIDE=FQ","FILING_STATUS=OR","Sort=A","Dates=H","DateFormat=P","Fill=—","Direction=H","UseDPDF=Y")</f>
        <v>-2.8856999999999999</v>
      </c>
      <c r="W61" s="14">
        <f>_xll.BDH("XOM US Equity","NET_DEBT_TO_SHRHLDR_EQTY","FQ3 2003","FQ3 2003","Currency=USD","Period=FQ","BEST_FPERIOD_OVERRIDE=FQ","FILING_STATUS=OR","Sort=A","Dates=H","DateFormat=P","Fill=—","Direction=H","UseDPDF=Y")</f>
        <v>-1.6665999999999999</v>
      </c>
      <c r="X61" s="14">
        <f>_xll.BDH("XOM US Equity","NET_DEBT_TO_SHRHLDR_EQTY","FQ4 2003","FQ4 2003","Currency=USD","Period=FQ","BEST_FPERIOD_OVERRIDE=FQ","FILING_STATUS=OR","Sort=A","Dates=H","DateFormat=P","Fill=—","Direction=H","UseDPDF=Y")</f>
        <v>-1.1587000000000001</v>
      </c>
      <c r="Y61" s="14">
        <f>_xll.BDH("XOM US Equity","NET_DEBT_TO_SHRHLDR_EQTY","FQ1 2004","FQ1 2004","Currency=USD","Period=FQ","BEST_FPERIOD_OVERRIDE=FQ","FILING_STATUS=OR","Sort=A","Dates=H","DateFormat=P","Fill=—","Direction=H","UseDPDF=Y")</f>
        <v>-6.4626000000000001</v>
      </c>
      <c r="Z61" s="14">
        <f>_xll.BDH("XOM US Equity","NET_DEBT_TO_SHRHLDR_EQTY","FQ2 2004","FQ2 2004","Currency=USD","Period=FQ","BEST_FPERIOD_OVERRIDE=FQ","FILING_STATUS=OR","Sort=A","Dates=H","DateFormat=P","Fill=—","Direction=H","UseDPDF=Y")</f>
        <v>-4.6475</v>
      </c>
      <c r="AA61" s="14">
        <f>_xll.BDH("XOM US Equity","NET_DEBT_TO_SHRHLDR_EQTY","FQ3 2004","FQ3 2004","Currency=USD","Period=FQ","BEST_FPERIOD_OVERRIDE=FQ","FILING_STATUS=OR","Sort=A","Dates=H","DateFormat=P","Fill=—","Direction=H","UseDPDF=Y")</f>
        <v>-6.2854999999999999</v>
      </c>
      <c r="AB61" s="14">
        <f>_xll.BDH("XOM US Equity","NET_DEBT_TO_SHRHLDR_EQTY","FQ4 2004","FQ4 2004","Currency=USD","Period=FQ","BEST_FPERIOD_OVERRIDE=FQ","FILING_STATUS=OR","Sort=A","Dates=H","DateFormat=P","Fill=—","Direction=H","UseDPDF=Y")</f>
        <v>-9.6852</v>
      </c>
      <c r="AC61" s="14">
        <f>_xll.BDH("XOM US Equity","NET_DEBT_TO_SHRHLDR_EQTY","FQ1 2005","FQ1 2005","Currency=USD","Period=FQ","BEST_FPERIOD_OVERRIDE=FQ","FILING_STATUS=OR","Sort=A","Dates=H","DateFormat=P","Fill=—","Direction=H","UseDPDF=Y")</f>
        <v>-16.240400000000001</v>
      </c>
      <c r="AD61" s="14">
        <f>_xll.BDH("XOM US Equity","NET_DEBT_TO_SHRHLDR_EQTY","FQ2 2005","FQ2 2005","Currency=USD","Period=FQ","BEST_FPERIOD_OVERRIDE=FQ","FILING_STATUS=OR","Sort=A","Dates=H","DateFormat=P","Fill=—","Direction=H","UseDPDF=Y")</f>
        <v>-15.834300000000001</v>
      </c>
      <c r="AE61" s="14">
        <f>_xll.BDH("XOM US Equity","NET_DEBT_TO_SHRHLDR_EQTY","FQ3 2005","FQ3 2005","Currency=USD","Period=FQ","BEST_FPERIOD_OVERRIDE=FQ","FILING_STATUS=OR","Sort=A","Dates=H","DateFormat=P","Fill=—","Direction=H","UseDPDF=Y")</f>
        <v>-19.263100000000001</v>
      </c>
      <c r="AF61" s="14">
        <f>_xll.BDH("XOM US Equity","NET_DEBT_TO_SHRHLDR_EQTY","FQ4 2005","FQ4 2005","Currency=USD","Period=FQ","BEST_FPERIOD_OVERRIDE=FQ","FILING_STATUS=OR","Sort=A","Dates=H","DateFormat=P","Fill=—","Direction=H","UseDPDF=Y")</f>
        <v>-18.0276</v>
      </c>
      <c r="AG61" s="14">
        <f>_xll.BDH("XOM US Equity","NET_DEBT_TO_SHRHLDR_EQTY","FQ1 2006","FQ1 2006","Currency=USD","Period=FQ","BEST_FPERIOD_OVERRIDE=FQ","FILING_STATUS=OR","Sort=A","Dates=H","DateFormat=P","Fill=—","Direction=H","UseDPDF=Y")</f>
        <v>-21.296800000000001</v>
      </c>
      <c r="AH61" s="14">
        <f>_xll.BDH("XOM US Equity","NET_DEBT_TO_SHRHLDR_EQTY","FQ2 2006","FQ2 2006","Currency=USD","Period=FQ","BEST_FPERIOD_OVERRIDE=FQ","FILING_STATUS=OR","Sort=A","Dates=H","DateFormat=P","Fill=—","Direction=H","UseDPDF=Y")</f>
        <v>-20.521100000000001</v>
      </c>
      <c r="AI61" s="14">
        <f>_xll.BDH("XOM US Equity","NET_DEBT_TO_SHRHLDR_EQTY","FQ3 2006","FQ3 2006","Currency=USD","Period=FQ","BEST_FPERIOD_OVERRIDE=FQ","FILING_STATUS=OR","Sort=A","Dates=H","DateFormat=P","Fill=—","Direction=H","UseDPDF=Y")</f>
        <v>-20.7088</v>
      </c>
      <c r="AJ61" s="14">
        <f>_xll.BDH("XOM US Equity","NET_DEBT_TO_SHRHLDR_EQTY","FQ4 2006","FQ4 2006","Currency=USD","Period=FQ","BEST_FPERIOD_OVERRIDE=FQ","FILING_STATUS=OR","Sort=A","Dates=H","DateFormat=P","Fill=—","Direction=H","UseDPDF=Y")</f>
        <v>-16.912299999999998</v>
      </c>
      <c r="AK61" s="14">
        <f>_xll.BDH("XOM US Equity","NET_DEBT_TO_SHRHLDR_EQTY","FQ1 2007","FQ1 2007","Currency=USD","Period=FQ","BEST_FPERIOD_OVERRIDE=FQ","FILING_STATUS=OR","Sort=A","Dates=H","DateFormat=P","Fill=—","Direction=H","UseDPDF=Y")</f>
        <v>-18.604900000000001</v>
      </c>
      <c r="AL61" s="14">
        <f>_xll.BDH("XOM US Equity","NET_DEBT_TO_SHRHLDR_EQTY","FQ2 2007","FQ2 2007","Currency=USD","Period=FQ","BEST_FPERIOD_OVERRIDE=FQ","FILING_STATUS=OR","Sort=A","Dates=H","DateFormat=P","Fill=—","Direction=H","UseDPDF=Y")</f>
        <v>-17.334800000000001</v>
      </c>
      <c r="AM61" s="14">
        <f>_xll.BDH("XOM US Equity","NET_DEBT_TO_SHRHLDR_EQTY","FQ3 2007","FQ3 2007","Currency=USD","Period=FQ","BEST_FPERIOD_OVERRIDE=FQ","FILING_STATUS=OR","Sort=A","Dates=H","DateFormat=P","Fill=—","Direction=H","UseDPDF=Y")</f>
        <v>-19.073699999999999</v>
      </c>
      <c r="AN61" s="14">
        <f>_xll.BDH("XOM US Equity","NET_DEBT_TO_SHRHLDR_EQTY","FQ4 2007","FQ4 2007","Currency=USD","Period=FQ","BEST_FPERIOD_OVERRIDE=FQ","FILING_STATUS=OR","Sort=A","Dates=H","DateFormat=P","Fill=—","Direction=H","UseDPDF=Y")</f>
        <v>-19.782</v>
      </c>
      <c r="AO61" s="14">
        <f>_xll.BDH("XOM US Equity","NET_DEBT_TO_SHRHLDR_EQTY","FQ1 2008","FQ1 2008","Currency=USD","Period=FQ","BEST_FPERIOD_OVERRIDE=FQ","FILING_STATUS=OR","Sort=A","Dates=H","DateFormat=P","Fill=—","Direction=H","UseDPDF=Y")</f>
        <v>-25.489100000000001</v>
      </c>
      <c r="AP61" s="14">
        <f>_xll.BDH("XOM US Equity","NET_DEBT_TO_SHRHLDR_EQTY","FQ2 2008","FQ2 2008","Currency=USD","Period=FQ","BEST_FPERIOD_OVERRIDE=FQ","FILING_STATUS=OR","Sort=A","Dates=H","DateFormat=P","Fill=—","Direction=H","UseDPDF=Y")</f>
        <v>-24.0839</v>
      </c>
    </row>
    <row r="62" spans="1:42" x14ac:dyDescent="0.25">
      <c r="A62" s="10" t="s">
        <v>277</v>
      </c>
      <c r="B62" s="10" t="s">
        <v>278</v>
      </c>
      <c r="C62" s="14" t="str">
        <f>_xll.BDH("XOM US Equity","TCE_RATIO","FQ3 1998","FQ3 1998","Currency=USD","Period=FQ","BEST_FPERIOD_OVERRIDE=FQ","FILING_STATUS=OR","Sort=A","Dates=H","DateFormat=P","Fill=—","Direction=H","UseDPDF=Y")</f>
        <v>—</v>
      </c>
      <c r="D62" s="14" t="str">
        <f>_xll.BDH("XOM US Equity","TCE_RATIO","FQ4 1998","FQ4 1998","Currency=USD","Period=FQ","BEST_FPERIOD_OVERRIDE=FQ","FILING_STATUS=OR","Sort=A","Dates=H","DateFormat=P","Fill=—","Direction=H","UseDPDF=Y")</f>
        <v>—</v>
      </c>
      <c r="E62" s="14">
        <f>_xll.BDH("XOM US Equity","TCE_RATIO","FQ1 1999","FQ1 1999","Currency=USD","Period=FQ","BEST_FPERIOD_OVERRIDE=FQ","FILING_STATUS=OR","Sort=A","Dates=H","DateFormat=P","Fill=—","Direction=H","UseDPDF=Y")</f>
        <v>47.294800000000002</v>
      </c>
      <c r="F62" s="14">
        <f>_xll.BDH("XOM US Equity","TCE_RATIO","FQ2 1999","FQ2 1999","Currency=USD","Period=FQ","BEST_FPERIOD_OVERRIDE=FQ","FILING_STATUS=OR","Sort=A","Dates=H","DateFormat=P","Fill=—","Direction=H","UseDPDF=Y")</f>
        <v>46.895400000000002</v>
      </c>
      <c r="G62" s="14">
        <f>_xll.BDH("XOM US Equity","TCE_RATIO","FQ3 1999","FQ3 1999","Currency=USD","Period=FQ","BEST_FPERIOD_OVERRIDE=FQ","FILING_STATUS=OR","Sort=A","Dates=H","DateFormat=P","Fill=—","Direction=H","UseDPDF=Y")</f>
        <v>46.404400000000003</v>
      </c>
      <c r="H62" s="14" t="str">
        <f>_xll.BDH("XOM US Equity","TCE_RATIO","FQ4 1999","FQ4 1999","Currency=USD","Period=FQ","BEST_FPERIOD_OVERRIDE=FQ","FILING_STATUS=OR","Sort=A","Dates=H","DateFormat=P","Fill=—","Direction=H","UseDPDF=Y")</f>
        <v>—</v>
      </c>
      <c r="I62" s="14">
        <f>_xll.BDH("XOM US Equity","TCE_RATIO","FQ1 2000","FQ1 2000","Currency=USD","Period=FQ","BEST_FPERIOD_OVERRIDE=FQ","FILING_STATUS=OR","Sort=A","Dates=H","DateFormat=P","Fill=—","Direction=H","UseDPDF=Y")</f>
        <v>45.103299999999997</v>
      </c>
      <c r="J62" s="14">
        <f>_xll.BDH("XOM US Equity","TCE_RATIO","FQ2 2000","FQ2 2000","Currency=USD","Period=FQ","BEST_FPERIOD_OVERRIDE=FQ","FILING_STATUS=OR","Sort=A","Dates=H","DateFormat=P","Fill=—","Direction=H","UseDPDF=Y")</f>
        <v>45.653300000000002</v>
      </c>
      <c r="K62" s="14">
        <f>_xll.BDH("XOM US Equity","TCE_RATIO","FQ3 2000","FQ3 2000","Currency=USD","Period=FQ","BEST_FPERIOD_OVERRIDE=FQ","FILING_STATUS=OR","Sort=A","Dates=H","DateFormat=P","Fill=—","Direction=H","UseDPDF=Y")</f>
        <v>45.942700000000002</v>
      </c>
      <c r="L62" s="14">
        <f>_xll.BDH("XOM US Equity","TCE_RATIO","FQ4 2000","FQ4 2000","Currency=USD","Period=FQ","BEST_FPERIOD_OVERRIDE=FQ","FILING_STATUS=OR","Sort=A","Dates=H","DateFormat=P","Fill=—","Direction=H","UseDPDF=Y")</f>
        <v>47.487900000000003</v>
      </c>
      <c r="M62" s="14" t="str">
        <f>_xll.BDH("XOM US Equity","TCE_RATIO","FQ1 2001","FQ1 2001","Currency=USD","Period=FQ","BEST_FPERIOD_OVERRIDE=FQ","FILING_STATUS=OR","Sort=A","Dates=H","DateFormat=P","Fill=—","Direction=H","UseDPDF=Y")</f>
        <v>—</v>
      </c>
      <c r="N62" s="14">
        <f>_xll.BDH("XOM US Equity","TCE_RATIO","FQ2 2001","FQ2 2001","Currency=USD","Period=FQ","BEST_FPERIOD_OVERRIDE=FQ","FILING_STATUS=OR","Sort=A","Dates=H","DateFormat=P","Fill=—","Direction=H","UseDPDF=Y")</f>
        <v>49.420299999999997</v>
      </c>
      <c r="O62" s="14">
        <f>_xll.BDH("XOM US Equity","TCE_RATIO","FQ3 2001","FQ3 2001","Currency=USD","Period=FQ","BEST_FPERIOD_OVERRIDE=FQ","FILING_STATUS=OR","Sort=A","Dates=H","DateFormat=P","Fill=—","Direction=H","UseDPDF=Y")</f>
        <v>49.914099999999998</v>
      </c>
      <c r="P62" s="14">
        <f>_xll.BDH("XOM US Equity","TCE_RATIO","FQ4 2001","FQ4 2001","Currency=USD","Period=FQ","BEST_FPERIOD_OVERRIDE=FQ","FILING_STATUS=OR","Sort=A","Dates=H","DateFormat=P","Fill=—","Direction=H","UseDPDF=Y")</f>
        <v>51.099400000000003</v>
      </c>
      <c r="Q62" s="14">
        <f>_xll.BDH("XOM US Equity","TCE_RATIO","FQ1 2002","FQ1 2002","Currency=USD","Period=FQ","BEST_FPERIOD_OVERRIDE=FQ","FILING_STATUS=OR","Sort=A","Dates=H","DateFormat=P","Fill=—","Direction=H","UseDPDF=Y")</f>
        <v>50.949399999999997</v>
      </c>
      <c r="R62" s="14">
        <f>_xll.BDH("XOM US Equity","TCE_RATIO","FQ2 2002","FQ2 2002","Currency=USD","Period=FQ","BEST_FPERIOD_OVERRIDE=FQ","FILING_STATUS=OR","Sort=A","Dates=H","DateFormat=P","Fill=—","Direction=H","UseDPDF=Y")</f>
        <v>50.676000000000002</v>
      </c>
      <c r="S62" s="14">
        <f>_xll.BDH("XOM US Equity","TCE_RATIO","FQ3 2002","FQ3 2002","Currency=USD","Period=FQ","BEST_FPERIOD_OVERRIDE=FQ","FILING_STATUS=OR","Sort=A","Dates=H","DateFormat=P","Fill=—","Direction=H","UseDPDF=Y")</f>
        <v>49.968899999999998</v>
      </c>
      <c r="T62" s="14">
        <f>_xll.BDH("XOM US Equity","TCE_RATIO","FQ4 2002","FQ4 2002","Currency=USD","Period=FQ","BEST_FPERIOD_OVERRIDE=FQ","FILING_STATUS=OR","Sort=A","Dates=H","DateFormat=P","Fill=—","Direction=H","UseDPDF=Y")</f>
        <v>48.869900000000001</v>
      </c>
      <c r="U62" s="14">
        <f>_xll.BDH("XOM US Equity","TCE_RATIO","FQ1 2003","FQ1 2003","Currency=USD","Period=FQ","BEST_FPERIOD_OVERRIDE=FQ","FILING_STATUS=OR","Sort=A","Dates=H","DateFormat=P","Fill=—","Direction=H","UseDPDF=Y")</f>
        <v>48.976900000000001</v>
      </c>
      <c r="V62" s="14">
        <f>_xll.BDH("XOM US Equity","TCE_RATIO","FQ2 2003","FQ2 2003","Currency=USD","Period=FQ","BEST_FPERIOD_OVERRIDE=FQ","FILING_STATUS=OR","Sort=A","Dates=H","DateFormat=P","Fill=—","Direction=H","UseDPDF=Y")</f>
        <v>50.017899999999997</v>
      </c>
      <c r="W62" s="14">
        <f>_xll.BDH("XOM US Equity","TCE_RATIO","FQ3 2003","FQ3 2003","Currency=USD","Period=FQ","BEST_FPERIOD_OVERRIDE=FQ","FILING_STATUS=OR","Sort=A","Dates=H","DateFormat=P","Fill=—","Direction=H","UseDPDF=Y")</f>
        <v>50.161999999999999</v>
      </c>
      <c r="X62" s="14">
        <f>_xll.BDH("XOM US Equity","TCE_RATIO","FQ4 2003","FQ4 2003","Currency=USD","Period=FQ","BEST_FPERIOD_OVERRIDE=FQ","FILING_STATUS=OR","Sort=A","Dates=H","DateFormat=P","Fill=—","Direction=H","UseDPDF=Y")</f>
        <v>51.5929</v>
      </c>
      <c r="Y62" s="14">
        <f>_xll.BDH("XOM US Equity","TCE_RATIO","FQ1 2004","FQ1 2004","Currency=USD","Period=FQ","BEST_FPERIOD_OVERRIDE=FQ","FILING_STATUS=OR","Sort=A","Dates=H","DateFormat=P","Fill=—","Direction=H","UseDPDF=Y")</f>
        <v>50.876800000000003</v>
      </c>
      <c r="Z62" s="14">
        <f>_xll.BDH("XOM US Equity","TCE_RATIO","FQ2 2004","FQ2 2004","Currency=USD","Period=FQ","BEST_FPERIOD_OVERRIDE=FQ","FILING_STATUS=OR","Sort=A","Dates=H","DateFormat=P","Fill=—","Direction=H","UseDPDF=Y")</f>
        <v>51.679900000000004</v>
      </c>
      <c r="AA62" s="14">
        <f>_xll.BDH("XOM US Equity","TCE_RATIO","FQ3 2004","FQ3 2004","Currency=USD","Period=FQ","BEST_FPERIOD_OVERRIDE=FQ","FILING_STATUS=OR","Sort=A","Dates=H","DateFormat=P","Fill=—","Direction=H","UseDPDF=Y")</f>
        <v>50.9206</v>
      </c>
      <c r="AB62" s="14">
        <f>_xll.BDH("XOM US Equity","TCE_RATIO","FQ4 2004","FQ4 2004","Currency=USD","Period=FQ","BEST_FPERIOD_OVERRIDE=FQ","FILING_STATUS=OR","Sort=A","Dates=H","DateFormat=P","Fill=—","Direction=H","UseDPDF=Y")</f>
        <v>52.114100000000001</v>
      </c>
      <c r="AC62" s="14">
        <f>_xll.BDH("XOM US Equity","TCE_RATIO","FQ1 2005","FQ1 2005","Currency=USD","Period=FQ","BEST_FPERIOD_OVERRIDE=FQ","FILING_STATUS=OR","Sort=A","Dates=H","DateFormat=P","Fill=—","Direction=H","UseDPDF=Y")</f>
        <v>51.526400000000002</v>
      </c>
      <c r="AD62" s="14">
        <f>_xll.BDH("XOM US Equity","TCE_RATIO","FQ2 2005","FQ2 2005","Currency=USD","Period=FQ","BEST_FPERIOD_OVERRIDE=FQ","FILING_STATUS=OR","Sort=A","Dates=H","DateFormat=P","Fill=—","Direction=H","UseDPDF=Y")</f>
        <v>51.827399999999997</v>
      </c>
      <c r="AE62" s="14">
        <f>_xll.BDH("XOM US Equity","TCE_RATIO","FQ3 2005","FQ3 2005","Currency=USD","Period=FQ","BEST_FPERIOD_OVERRIDE=FQ","FILING_STATUS=OR","Sort=A","Dates=H","DateFormat=P","Fill=—","Direction=H","UseDPDF=Y")</f>
        <v>51.444499999999998</v>
      </c>
      <c r="AF62" s="14">
        <f>_xll.BDH("XOM US Equity","TCE_RATIO","FQ4 2005","FQ4 2005","Currency=USD","Period=FQ","BEST_FPERIOD_OVERRIDE=FQ","FILING_STATUS=OR","Sort=A","Dates=H","DateFormat=P","Fill=—","Direction=H","UseDPDF=Y")</f>
        <v>53.368899999999996</v>
      </c>
      <c r="AG62" s="14">
        <f>_xll.BDH("XOM US Equity","TCE_RATIO","FQ1 2006","FQ1 2006","Currency=USD","Period=FQ","BEST_FPERIOD_OVERRIDE=FQ","FILING_STATUS=OR","Sort=A","Dates=H","DateFormat=P","Fill=—","Direction=H","UseDPDF=Y")</f>
        <v>52.0657</v>
      </c>
      <c r="AH62" s="14">
        <f>_xll.BDH("XOM US Equity","TCE_RATIO","FQ2 2006","FQ2 2006","Currency=USD","Period=FQ","BEST_FPERIOD_OVERRIDE=FQ","FILING_STATUS=OR","Sort=A","Dates=H","DateFormat=P","Fill=—","Direction=H","UseDPDF=Y")</f>
        <v>52.3795</v>
      </c>
      <c r="AI62" s="14">
        <f>_xll.BDH("XOM US Equity","TCE_RATIO","FQ3 2006","FQ3 2006","Currency=USD","Period=FQ","BEST_FPERIOD_OVERRIDE=FQ","FILING_STATUS=OR","Sort=A","Dates=H","DateFormat=P","Fill=—","Direction=H","UseDPDF=Y")</f>
        <v>52.062800000000003</v>
      </c>
      <c r="AJ62" s="14">
        <f>_xll.BDH("XOM US Equity","TCE_RATIO","FQ4 2006","FQ4 2006","Currency=USD","Period=FQ","BEST_FPERIOD_OVERRIDE=FQ","FILING_STATUS=OR","Sort=A","Dates=H","DateFormat=P","Fill=—","Direction=H","UseDPDF=Y")</f>
        <v>51.98</v>
      </c>
      <c r="AK62" s="14">
        <f>_xll.BDH("XOM US Equity","TCE_RATIO","FQ1 2007","FQ1 2007","Currency=USD","Period=FQ","BEST_FPERIOD_OVERRIDE=FQ","FILING_STATUS=OR","Sort=A","Dates=H","DateFormat=P","Fill=—","Direction=H","UseDPDF=Y")</f>
        <v>51.101900000000001</v>
      </c>
      <c r="AL62" s="14">
        <f>_xll.BDH("XOM US Equity","TCE_RATIO","FQ2 2007","FQ2 2007","Currency=USD","Period=FQ","BEST_FPERIOD_OVERRIDE=FQ","FILING_STATUS=OR","Sort=A","Dates=H","DateFormat=P","Fill=—","Direction=H","UseDPDF=Y")</f>
        <v>50.960299999999997</v>
      </c>
      <c r="AM62" s="14">
        <f>_xll.BDH("XOM US Equity","TCE_RATIO","FQ3 2007","FQ3 2007","Currency=USD","Period=FQ","BEST_FPERIOD_OVERRIDE=FQ","FILING_STATUS=OR","Sort=A","Dates=H","DateFormat=P","Fill=—","Direction=H","UseDPDF=Y")</f>
        <v>50.115099999999998</v>
      </c>
      <c r="AN62" s="14">
        <f>_xll.BDH("XOM US Equity","TCE_RATIO","FQ4 2007","FQ4 2007","Currency=USD","Period=FQ","BEST_FPERIOD_OVERRIDE=FQ","FILING_STATUS=OR","Sort=A","Dates=H","DateFormat=P","Fill=—","Direction=H","UseDPDF=Y")</f>
        <v>50.297800000000002</v>
      </c>
      <c r="AO62" s="14">
        <f>_xll.BDH("XOM US Equity","TCE_RATIO","FQ1 2008","FQ1 2008","Currency=USD","Period=FQ","BEST_FPERIOD_OVERRIDE=FQ","FILING_STATUS=OR","Sort=A","Dates=H","DateFormat=P","Fill=—","Direction=H","UseDPDF=Y")</f>
        <v>47.691000000000003</v>
      </c>
      <c r="AP62" s="14">
        <f>_xll.BDH("XOM US Equity","TCE_RATIO","FQ2 2008","FQ2 2008","Currency=USD","Period=FQ","BEST_FPERIOD_OVERRIDE=FQ","FILING_STATUS=OR","Sort=A","Dates=H","DateFormat=P","Fill=—","Direction=H","UseDPDF=Y")</f>
        <v>46.793700000000001</v>
      </c>
    </row>
    <row r="63" spans="1:42" x14ac:dyDescent="0.25">
      <c r="A63" s="10" t="s">
        <v>279</v>
      </c>
      <c r="B63" s="10" t="s">
        <v>280</v>
      </c>
      <c r="C63" s="14">
        <f>_xll.BDH("XOM US Equity","CUR_RATIO","FQ3 1998","FQ3 1998","Currency=USD","Period=FQ","BEST_FPERIOD_OVERRIDE=FQ","FILING_STATUS=OR","Sort=A","Dates=H","DateFormat=P","Fill=—","Direction=H","UseDPDF=Y")</f>
        <v>0.96330000000000005</v>
      </c>
      <c r="D63" s="14">
        <f>_xll.BDH("XOM US Equity","CUR_RATIO","FQ4 1998","FQ4 1998","Currency=USD","Period=FQ","BEST_FPERIOD_OVERRIDE=FQ","FILING_STATUS=OR","Sort=A","Dates=H","DateFormat=P","Fill=—","Direction=H","UseDPDF=Y")</f>
        <v>0.90629999999999999</v>
      </c>
      <c r="E63" s="14">
        <f>_xll.BDH("XOM US Equity","CUR_RATIO","FQ1 1999","FQ1 1999","Currency=USD","Period=FQ","BEST_FPERIOD_OVERRIDE=FQ","FILING_STATUS=OR","Sort=A","Dates=H","DateFormat=P","Fill=—","Direction=H","UseDPDF=Y")</f>
        <v>0.88539999999999996</v>
      </c>
      <c r="F63" s="14">
        <f>_xll.BDH("XOM US Equity","CUR_RATIO","FQ2 1999","FQ2 1999","Currency=USD","Period=FQ","BEST_FPERIOD_OVERRIDE=FQ","FILING_STATUS=OR","Sort=A","Dates=H","DateFormat=P","Fill=—","Direction=H","UseDPDF=Y")</f>
        <v>0.83350000000000002</v>
      </c>
      <c r="G63" s="14">
        <f>_xll.BDH("XOM US Equity","CUR_RATIO","FQ3 1999","FQ3 1999","Currency=USD","Period=FQ","BEST_FPERIOD_OVERRIDE=FQ","FILING_STATUS=OR","Sort=A","Dates=H","DateFormat=P","Fill=—","Direction=H","UseDPDF=Y")</f>
        <v>0.83640000000000003</v>
      </c>
      <c r="H63" s="14">
        <f>_xll.BDH("XOM US Equity","CUR_RATIO","FQ4 1999","FQ4 1999","Currency=USD","Period=FQ","BEST_FPERIOD_OVERRIDE=FQ","FILING_STATUS=OR","Sort=A","Dates=H","DateFormat=P","Fill=—","Direction=H","UseDPDF=Y")</f>
        <v>0.80400000000000005</v>
      </c>
      <c r="I63" s="14">
        <f>_xll.BDH("XOM US Equity","CUR_RATIO","FQ1 2000","FQ1 2000","Currency=USD","Period=FQ","BEST_FPERIOD_OVERRIDE=FQ","FILING_STATUS=OR","Sort=A","Dates=H","DateFormat=P","Fill=—","Direction=H","UseDPDF=Y")</f>
        <v>0.86990000000000001</v>
      </c>
      <c r="J63" s="14">
        <f>_xll.BDH("XOM US Equity","CUR_RATIO","FQ2 2000","FQ2 2000","Currency=USD","Period=FQ","BEST_FPERIOD_OVERRIDE=FQ","FILING_STATUS=OR","Sort=A","Dates=H","DateFormat=P","Fill=—","Direction=H","UseDPDF=Y")</f>
        <v>0.96009999999999995</v>
      </c>
      <c r="K63" s="14">
        <f>_xll.BDH("XOM US Equity","CUR_RATIO","FQ3 2000","FQ3 2000","Currency=USD","Period=FQ","BEST_FPERIOD_OVERRIDE=FQ","FILING_STATUS=OR","Sort=A","Dates=H","DateFormat=P","Fill=—","Direction=H","UseDPDF=Y")</f>
        <v>0.99180000000000001</v>
      </c>
      <c r="L63" s="14">
        <f>_xll.BDH("XOM US Equity","CUR_RATIO","FQ4 2000","FQ4 2000","Currency=USD","Period=FQ","BEST_FPERIOD_OVERRIDE=FQ","FILING_STATUS=OR","Sort=A","Dates=H","DateFormat=P","Fill=—","Direction=H","UseDPDF=Y")</f>
        <v>1.0578000000000001</v>
      </c>
      <c r="M63" s="14">
        <f>_xll.BDH("XOM US Equity","CUR_RATIO","FQ1 2001","FQ1 2001","Currency=USD","Period=FQ","BEST_FPERIOD_OVERRIDE=FQ","FILING_STATUS=OR","Sort=A","Dates=H","DateFormat=P","Fill=—","Direction=H","UseDPDF=Y")</f>
        <v>1.1383000000000001</v>
      </c>
      <c r="N63" s="14">
        <f>_xll.BDH("XOM US Equity","CUR_RATIO","FQ2 2001","FQ2 2001","Currency=USD","Period=FQ","BEST_FPERIOD_OVERRIDE=FQ","FILING_STATUS=OR","Sort=A","Dates=H","DateFormat=P","Fill=—","Direction=H","UseDPDF=Y")</f>
        <v>1.1602999999999999</v>
      </c>
      <c r="O63" s="14">
        <f>_xll.BDH("XOM US Equity","CUR_RATIO","FQ3 2001","FQ3 2001","Currency=USD","Period=FQ","BEST_FPERIOD_OVERRIDE=FQ","FILING_STATUS=OR","Sort=A","Dates=H","DateFormat=P","Fill=—","Direction=H","UseDPDF=Y")</f>
        <v>1.1667000000000001</v>
      </c>
      <c r="P63" s="14">
        <f>_xll.BDH("XOM US Equity","CUR_RATIO","FQ4 2001","FQ4 2001","Currency=USD","Period=FQ","BEST_FPERIOD_OVERRIDE=FQ","FILING_STATUS=OR","Sort=A","Dates=H","DateFormat=P","Fill=—","Direction=H","UseDPDF=Y")</f>
        <v>1.1849000000000001</v>
      </c>
      <c r="Q63" s="14">
        <f>_xll.BDH("XOM US Equity","CUR_RATIO","FQ1 2002","FQ1 2002","Currency=USD","Period=FQ","BEST_FPERIOD_OVERRIDE=FQ","FILING_STATUS=OR","Sort=A","Dates=H","DateFormat=P","Fill=—","Direction=H","UseDPDF=Y")</f>
        <v>1.1749000000000001</v>
      </c>
      <c r="R63" s="14">
        <f>_xll.BDH("XOM US Equity","CUR_RATIO","FQ2 2002","FQ2 2002","Currency=USD","Period=FQ","BEST_FPERIOD_OVERRIDE=FQ","FILING_STATUS=OR","Sort=A","Dates=H","DateFormat=P","Fill=—","Direction=H","UseDPDF=Y")</f>
        <v>1.1567000000000001</v>
      </c>
      <c r="S63" s="14">
        <f>_xll.BDH("XOM US Equity","CUR_RATIO","FQ3 2002","FQ3 2002","Currency=USD","Period=FQ","BEST_FPERIOD_OVERRIDE=FQ","FILING_STATUS=OR","Sort=A","Dates=H","DateFormat=P","Fill=—","Direction=H","UseDPDF=Y")</f>
        <v>1.1053999999999999</v>
      </c>
      <c r="T63" s="14">
        <f>_xll.BDH("XOM US Equity","CUR_RATIO","FQ4 2002","FQ4 2002","Currency=USD","Period=FQ","BEST_FPERIOD_OVERRIDE=FQ","FILING_STATUS=OR","Sort=A","Dates=H","DateFormat=P","Fill=—","Direction=H","UseDPDF=Y")</f>
        <v>1.1541999999999999</v>
      </c>
      <c r="U63" s="14">
        <f>_xll.BDH("XOM US Equity","CUR_RATIO","FQ1 2003","FQ1 2003","Currency=USD","Period=FQ","BEST_FPERIOD_OVERRIDE=FQ","FILING_STATUS=OR","Sort=A","Dates=H","DateFormat=P","Fill=—","Direction=H","UseDPDF=Y")</f>
        <v>1.2077</v>
      </c>
      <c r="V63" s="14">
        <f>_xll.BDH("XOM US Equity","CUR_RATIO","FQ2 2003","FQ2 2003","Currency=USD","Period=FQ","BEST_FPERIOD_OVERRIDE=FQ","FILING_STATUS=OR","Sort=A","Dates=H","DateFormat=P","Fill=—","Direction=H","UseDPDF=Y")</f>
        <v>1.2023999999999999</v>
      </c>
      <c r="W63" s="14">
        <f>_xll.BDH("XOM US Equity","CUR_RATIO","FQ3 2003","FQ3 2003","Currency=USD","Period=FQ","BEST_FPERIOD_OVERRIDE=FQ","FILING_STATUS=OR","Sort=A","Dates=H","DateFormat=P","Fill=—","Direction=H","UseDPDF=Y")</f>
        <v>1.1116999999999999</v>
      </c>
      <c r="X63" s="14">
        <f>_xll.BDH("XOM US Equity","CUR_RATIO","FQ4 2003","FQ4 2003","Currency=USD","Period=FQ","BEST_FPERIOD_OVERRIDE=FQ","FILING_STATUS=OR","Sort=A","Dates=H","DateFormat=P","Fill=—","Direction=H","UseDPDF=Y")</f>
        <v>1.1973</v>
      </c>
      <c r="Y63" s="14">
        <f>_xll.BDH("XOM US Equity","CUR_RATIO","FQ1 2004","FQ1 2004","Currency=USD","Period=FQ","BEST_FPERIOD_OVERRIDE=FQ","FILING_STATUS=OR","Sort=A","Dates=H","DateFormat=P","Fill=—","Direction=H","UseDPDF=Y")</f>
        <v>1.2506999999999999</v>
      </c>
      <c r="Z63" s="14">
        <f>_xll.BDH("XOM US Equity","CUR_RATIO","FQ2 2004","FQ2 2004","Currency=USD","Period=FQ","BEST_FPERIOD_OVERRIDE=FQ","FILING_STATUS=OR","Sort=A","Dates=H","DateFormat=P","Fill=—","Direction=H","UseDPDF=Y")</f>
        <v>1.3151999999999999</v>
      </c>
      <c r="AA63" s="14">
        <f>_xll.BDH("XOM US Equity","CUR_RATIO","FQ3 2004","FQ3 2004","Currency=USD","Period=FQ","BEST_FPERIOD_OVERRIDE=FQ","FILING_STATUS=OR","Sort=A","Dates=H","DateFormat=P","Fill=—","Direction=H","UseDPDF=Y")</f>
        <v>1.3109</v>
      </c>
      <c r="AB63" s="14">
        <f>_xll.BDH("XOM US Equity","CUR_RATIO","FQ4 2004","FQ4 2004","Currency=USD","Period=FQ","BEST_FPERIOD_OVERRIDE=FQ","FILING_STATUS=OR","Sort=A","Dates=H","DateFormat=P","Fill=—","Direction=H","UseDPDF=Y")</f>
        <v>1.4047000000000001</v>
      </c>
      <c r="AC63" s="14">
        <f>_xll.BDH("XOM US Equity","CUR_RATIO","FQ1 2005","FQ1 2005","Currency=USD","Period=FQ","BEST_FPERIOD_OVERRIDE=FQ","FILING_STATUS=OR","Sort=A","Dates=H","DateFormat=P","Fill=—","Direction=H","UseDPDF=Y")</f>
        <v>1.4361999999999999</v>
      </c>
      <c r="AD63" s="14">
        <f>_xll.BDH("XOM US Equity","CUR_RATIO","FQ2 2005","FQ2 2005","Currency=USD","Period=FQ","BEST_FPERIOD_OVERRIDE=FQ","FILING_STATUS=OR","Sort=A","Dates=H","DateFormat=P","Fill=—","Direction=H","UseDPDF=Y")</f>
        <v>1.4933000000000001</v>
      </c>
      <c r="AE63" s="14">
        <f>_xll.BDH("XOM US Equity","CUR_RATIO","FQ3 2005","FQ3 2005","Currency=USD","Period=FQ","BEST_FPERIOD_OVERRIDE=FQ","FILING_STATUS=OR","Sort=A","Dates=H","DateFormat=P","Fill=—","Direction=H","UseDPDF=Y")</f>
        <v>1.4689000000000001</v>
      </c>
      <c r="AF63" s="14">
        <f>_xll.BDH("XOM US Equity","CUR_RATIO","FQ4 2005","FQ4 2005","Currency=USD","Period=FQ","BEST_FPERIOD_OVERRIDE=FQ","FILING_STATUS=OR","Sort=A","Dates=H","DateFormat=P","Fill=—","Direction=H","UseDPDF=Y")</f>
        <v>1.5838000000000001</v>
      </c>
      <c r="AG63" s="14">
        <f>_xll.BDH("XOM US Equity","CUR_RATIO","FQ1 2006","FQ1 2006","Currency=USD","Period=FQ","BEST_FPERIOD_OVERRIDE=FQ","FILING_STATUS=OR","Sort=A","Dates=H","DateFormat=P","Fill=—","Direction=H","UseDPDF=Y")</f>
        <v>1.5257000000000001</v>
      </c>
      <c r="AH63" s="14">
        <f>_xll.BDH("XOM US Equity","CUR_RATIO","FQ2 2006","FQ2 2006","Currency=USD","Period=FQ","BEST_FPERIOD_OVERRIDE=FQ","FILING_STATUS=OR","Sort=A","Dates=H","DateFormat=P","Fill=—","Direction=H","UseDPDF=Y")</f>
        <v>1.5645</v>
      </c>
      <c r="AI63" s="14">
        <f>_xll.BDH("XOM US Equity","CUR_RATIO","FQ3 2006","FQ3 2006","Currency=USD","Period=FQ","BEST_FPERIOD_OVERRIDE=FQ","FILING_STATUS=OR","Sort=A","Dates=H","DateFormat=P","Fill=—","Direction=H","UseDPDF=Y")</f>
        <v>1.4917</v>
      </c>
      <c r="AJ63" s="14">
        <f>_xll.BDH("XOM US Equity","CUR_RATIO","FQ4 2006","FQ4 2006","Currency=USD","Period=FQ","BEST_FPERIOD_OVERRIDE=FQ","FILING_STATUS=OR","Sort=A","Dates=H","DateFormat=P","Fill=—","Direction=H","UseDPDF=Y")</f>
        <v>1.5523</v>
      </c>
      <c r="AK63" s="14">
        <f>_xll.BDH("XOM US Equity","CUR_RATIO","FQ1 2007","FQ1 2007","Currency=USD","Period=FQ","BEST_FPERIOD_OVERRIDE=FQ","FILING_STATUS=OR","Sort=A","Dates=H","DateFormat=P","Fill=—","Direction=H","UseDPDF=Y")</f>
        <v>1.5430999999999999</v>
      </c>
      <c r="AL63" s="14">
        <f>_xll.BDH("XOM US Equity","CUR_RATIO","FQ2 2007","FQ2 2007","Currency=USD","Period=FQ","BEST_FPERIOD_OVERRIDE=FQ","FILING_STATUS=OR","Sort=A","Dates=H","DateFormat=P","Fill=—","Direction=H","UseDPDF=Y")</f>
        <v>1.5548</v>
      </c>
      <c r="AM63" s="14">
        <f>_xll.BDH("XOM US Equity","CUR_RATIO","FQ3 2007","FQ3 2007","Currency=USD","Period=FQ","BEST_FPERIOD_OVERRIDE=FQ","FILING_STATUS=OR","Sort=A","Dates=H","DateFormat=P","Fill=—","Direction=H","UseDPDF=Y")</f>
        <v>1.5244</v>
      </c>
      <c r="AN63" s="14">
        <f>_xll.BDH("XOM US Equity","CUR_RATIO","FQ4 2007","FQ4 2007","Currency=USD","Period=FQ","BEST_FPERIOD_OVERRIDE=FQ","FILING_STATUS=OR","Sort=A","Dates=H","DateFormat=P","Fill=—","Direction=H","UseDPDF=Y")</f>
        <v>1.4742</v>
      </c>
      <c r="AO63" s="14">
        <f>_xll.BDH("XOM US Equity","CUR_RATIO","FQ1 2008","FQ1 2008","Currency=USD","Period=FQ","BEST_FPERIOD_OVERRIDE=FQ","FILING_STATUS=OR","Sort=A","Dates=H","DateFormat=P","Fill=—","Direction=H","UseDPDF=Y")</f>
        <v>1.3772</v>
      </c>
      <c r="AP63" s="14">
        <f>_xll.BDH("XOM US Equity","CUR_RATIO","FQ2 2008","FQ2 2008","Currency=USD","Period=FQ","BEST_FPERIOD_OVERRIDE=FQ","FILING_STATUS=OR","Sort=A","Dates=H","DateFormat=P","Fill=—","Direction=H","UseDPDF=Y")</f>
        <v>1.3463000000000001</v>
      </c>
    </row>
    <row r="64" spans="1:42" x14ac:dyDescent="0.25">
      <c r="A64" s="10" t="s">
        <v>281</v>
      </c>
      <c r="B64" s="10" t="s">
        <v>282</v>
      </c>
      <c r="C64" s="14">
        <f>_xll.BDH("XOM US Equity","CASH_CONVERSION_CYCLE","FQ3 1998","FQ3 1998","Currency=USD","Period=FQ","BEST_FPERIOD_OVERRIDE=FQ","FILING_STATUS=OR","FA_ADJUSTED=GAAP","Sort=A","Dates=H","DateFormat=P","Fill=—","Direction=H","UseDPDF=Y")</f>
        <v>-16.773800000000001</v>
      </c>
      <c r="D64" s="14" t="str">
        <f>_xll.BDH("XOM US Equity","CASH_CONVERSION_CYCLE","FQ4 1998","FQ4 1998","Currency=USD","Period=FQ","BEST_FPERIOD_OVERRIDE=FQ","FILING_STATUS=OR","FA_ADJUSTED=GAAP","Sort=A","Dates=H","DateFormat=P","Fill=—","Direction=H","UseDPDF=Y")</f>
        <v>—</v>
      </c>
      <c r="E64" s="14">
        <f>_xll.BDH("XOM US Equity","CASH_CONVERSION_CYCLE","FQ1 1999","FQ1 1999","Currency=USD","Period=FQ","BEST_FPERIOD_OVERRIDE=FQ","FILING_STATUS=OR","FA_ADJUSTED=GAAP","Sort=A","Dates=H","DateFormat=P","Fill=—","Direction=H","UseDPDF=Y")</f>
        <v>-16.227799999999998</v>
      </c>
      <c r="F64" s="14">
        <f>_xll.BDH("XOM US Equity","CASH_CONVERSION_CYCLE","FQ2 1999","FQ2 1999","Currency=USD","Period=FQ","BEST_FPERIOD_OVERRIDE=FQ","FILING_STATUS=OR","FA_ADJUSTED=GAAP","Sort=A","Dates=H","DateFormat=P","Fill=—","Direction=H","UseDPDF=Y")</f>
        <v>-12.601599999999999</v>
      </c>
      <c r="G64" s="14">
        <f>_xll.BDH("XOM US Equity","CASH_CONVERSION_CYCLE","FQ3 1999","FQ3 1999","Currency=USD","Period=FQ","BEST_FPERIOD_OVERRIDE=FQ","FILING_STATUS=OR","FA_ADJUSTED=GAAP","Sort=A","Dates=H","DateFormat=P","Fill=—","Direction=H","UseDPDF=Y")</f>
        <v>-13.203099999999999</v>
      </c>
      <c r="H64" s="14">
        <f>_xll.BDH("XOM US Equity","CASH_CONVERSION_CYCLE","FQ4 1999","FQ4 1999","Currency=USD","Period=FQ","BEST_FPERIOD_OVERRIDE=FQ","FILING_STATUS=OR","FA_ADJUSTED=GAAP","Sort=A","Dates=H","DateFormat=P","Fill=—","Direction=H","UseDPDF=Y")</f>
        <v>3.6503000000000001</v>
      </c>
      <c r="I64" s="14">
        <f>_xll.BDH("XOM US Equity","CASH_CONVERSION_CYCLE","FQ1 2000","FQ1 2000","Currency=USD","Period=FQ","BEST_FPERIOD_OVERRIDE=FQ","FILING_STATUS=OR","FA_ADJUSTED=GAAP","Sort=A","Dates=H","DateFormat=P","Fill=—","Direction=H","UseDPDF=Y")</f>
        <v>-9.7544000000000004</v>
      </c>
      <c r="J64" s="14">
        <f>_xll.BDH("XOM US Equity","CASH_CONVERSION_CYCLE","FQ2 2000","FQ2 2000","Currency=USD","Period=FQ","BEST_FPERIOD_OVERRIDE=FQ","FILING_STATUS=OR","FA_ADJUSTED=GAAP","Sort=A","Dates=H","DateFormat=P","Fill=—","Direction=H","UseDPDF=Y")</f>
        <v>-9.6930999999999994</v>
      </c>
      <c r="K64" s="14">
        <f>_xll.BDH("XOM US Equity","CASH_CONVERSION_CYCLE","FQ3 2000","FQ3 2000","Currency=USD","Period=FQ","BEST_FPERIOD_OVERRIDE=FQ","FILING_STATUS=OR","FA_ADJUSTED=GAAP","Sort=A","Dates=H","DateFormat=P","Fill=—","Direction=H","UseDPDF=Y")</f>
        <v>-7.7709000000000001</v>
      </c>
      <c r="L64" s="14">
        <f>_xll.BDH("XOM US Equity","CASH_CONVERSION_CYCLE","FQ4 2000","FQ4 2000","Currency=USD","Period=FQ","BEST_FPERIOD_OVERRIDE=FQ","FILING_STATUS=OR","FA_ADJUSTED=GAAP","Sort=A","Dates=H","DateFormat=P","Fill=—","Direction=H","UseDPDF=Y")</f>
        <v>22.776</v>
      </c>
      <c r="M64" s="14">
        <f>_xll.BDH("XOM US Equity","CASH_CONVERSION_CYCLE","FQ1 2001","FQ1 2001","Currency=USD","Period=FQ","BEST_FPERIOD_OVERRIDE=FQ","FILING_STATUS=OR","FA_ADJUSTED=GAAP","Sort=A","Dates=H","DateFormat=P","Fill=—","Direction=H","UseDPDF=Y")</f>
        <v>-5.9739000000000004</v>
      </c>
      <c r="N64" s="14">
        <f>_xll.BDH("XOM US Equity","CASH_CONVERSION_CYCLE","FQ2 2001","FQ2 2001","Currency=USD","Period=FQ","BEST_FPERIOD_OVERRIDE=FQ","FILING_STATUS=OR","FA_ADJUSTED=GAAP","Sort=A","Dates=H","DateFormat=P","Fill=—","Direction=H","UseDPDF=Y")</f>
        <v>-8.9735999999999994</v>
      </c>
      <c r="O64" s="14">
        <f>_xll.BDH("XOM US Equity","CASH_CONVERSION_CYCLE","FQ3 2001","FQ3 2001","Currency=USD","Period=FQ","BEST_FPERIOD_OVERRIDE=FQ","FILING_STATUS=OR","FA_ADJUSTED=GAAP","Sort=A","Dates=H","DateFormat=P","Fill=—","Direction=H","UseDPDF=Y")</f>
        <v>-8.2413000000000007</v>
      </c>
      <c r="P64" s="14">
        <f>_xll.BDH("XOM US Equity","CASH_CONVERSION_CYCLE","FQ4 2001","FQ4 2001","Currency=USD","Period=FQ","BEST_FPERIOD_OVERRIDE=FQ","FILING_STATUS=OR","FA_ADJUSTED=GAAP","Sort=A","Dates=H","DateFormat=P","Fill=—","Direction=H","UseDPDF=Y")</f>
        <v>6.3330000000000002</v>
      </c>
      <c r="Q64" s="14">
        <f>_xll.BDH("XOM US Equity","CASH_CONVERSION_CYCLE","FQ1 2002","FQ1 2002","Currency=USD","Period=FQ","BEST_FPERIOD_OVERRIDE=FQ","FILING_STATUS=OR","FA_ADJUSTED=GAAP","Sort=A","Dates=H","DateFormat=P","Fill=—","Direction=H","UseDPDF=Y")</f>
        <v>-7.1012000000000004</v>
      </c>
      <c r="R64" s="14">
        <f>_xll.BDH("XOM US Equity","CASH_CONVERSION_CYCLE","FQ2 2002","FQ2 2002","Currency=USD","Period=FQ","BEST_FPERIOD_OVERRIDE=FQ","FILING_STATUS=OR","FA_ADJUSTED=GAAP","Sort=A","Dates=H","DateFormat=P","Fill=—","Direction=H","UseDPDF=Y")</f>
        <v>-6.8193999999999999</v>
      </c>
      <c r="S64" s="14">
        <f>_xll.BDH("XOM US Equity","CASH_CONVERSION_CYCLE","FQ3 2002","FQ3 2002","Currency=USD","Period=FQ","BEST_FPERIOD_OVERRIDE=FQ","FILING_STATUS=OR","FA_ADJUSTED=GAAP","Sort=A","Dates=H","DateFormat=P","Fill=—","Direction=H","UseDPDF=Y")</f>
        <v>-10.600300000000001</v>
      </c>
      <c r="T64" s="14">
        <f>_xll.BDH("XOM US Equity","CASH_CONVERSION_CYCLE","FQ4 2002","FQ4 2002","Currency=USD","Period=FQ","BEST_FPERIOD_OVERRIDE=FQ","FILING_STATUS=OR","FA_ADJUSTED=GAAP","Sort=A","Dates=H","DateFormat=P","Fill=—","Direction=H","UseDPDF=Y")</f>
        <v>24.566099999999999</v>
      </c>
      <c r="U64" s="14">
        <f>_xll.BDH("XOM US Equity","CASH_CONVERSION_CYCLE","FQ1 2003","FQ1 2003","Currency=USD","Period=FQ","BEST_FPERIOD_OVERRIDE=FQ","FILING_STATUS=OR","FA_ADJUSTED=GAAP","Sort=A","Dates=H","DateFormat=P","Fill=—","Direction=H","UseDPDF=Y")</f>
        <v>-8.0668000000000006</v>
      </c>
      <c r="V64" s="14">
        <f>_xll.BDH("XOM US Equity","CASH_CONVERSION_CYCLE","FQ2 2003","FQ2 2003","Currency=USD","Period=FQ","BEST_FPERIOD_OVERRIDE=FQ","FILING_STATUS=OR","FA_ADJUSTED=GAAP","Sort=A","Dates=H","DateFormat=P","Fill=—","Direction=H","UseDPDF=Y")</f>
        <v>-7.2099000000000002</v>
      </c>
      <c r="W64" s="14">
        <f>_xll.BDH("XOM US Equity","CASH_CONVERSION_CYCLE","FQ3 2003","FQ3 2003","Currency=USD","Period=FQ","BEST_FPERIOD_OVERRIDE=FQ","FILING_STATUS=OR","FA_ADJUSTED=GAAP","Sort=A","Dates=H","DateFormat=P","Fill=—","Direction=H","UseDPDF=Y")</f>
        <v>-9.7149999999999999</v>
      </c>
      <c r="X64" s="14">
        <f>_xll.BDH("XOM US Equity","CASH_CONVERSION_CYCLE","FQ4 2003","FQ4 2003","Currency=USD","Period=FQ","BEST_FPERIOD_OVERRIDE=FQ","FILING_STATUS=OR","FA_ADJUSTED=GAAP","Sort=A","Dates=H","DateFormat=P","Fill=—","Direction=H","UseDPDF=Y")</f>
        <v>23.163900000000002</v>
      </c>
      <c r="Y64" s="14">
        <f>_xll.BDH("XOM US Equity","CASH_CONVERSION_CYCLE","FQ1 2004","FQ1 2004","Currency=USD","Period=FQ","BEST_FPERIOD_OVERRIDE=FQ","FILING_STATUS=OR","FA_ADJUSTED=GAAP","Sort=A","Dates=H","DateFormat=P","Fill=—","Direction=H","UseDPDF=Y")</f>
        <v>-11.0459</v>
      </c>
      <c r="Z64" s="14">
        <f>_xll.BDH("XOM US Equity","CASH_CONVERSION_CYCLE","FQ2 2004","FQ2 2004","Currency=USD","Period=FQ","BEST_FPERIOD_OVERRIDE=FQ","FILING_STATUS=OR","FA_ADJUSTED=GAAP","Sort=A","Dates=H","DateFormat=P","Fill=—","Direction=H","UseDPDF=Y")</f>
        <v>-11.074999999999999</v>
      </c>
      <c r="AA64" s="14">
        <f>_xll.BDH("XOM US Equity","CASH_CONVERSION_CYCLE","FQ3 2004","FQ3 2004","Currency=USD","Period=FQ","BEST_FPERIOD_OVERRIDE=FQ","FILING_STATUS=OR","FA_ADJUSTED=GAAP","Sort=A","Dates=H","DateFormat=P","Fill=—","Direction=H","UseDPDF=Y")</f>
        <v>-12.1477</v>
      </c>
      <c r="AB64" s="14">
        <f>_xll.BDH("XOM US Equity","CASH_CONVERSION_CYCLE","FQ4 2004","FQ4 2004","Currency=USD","Period=FQ","BEST_FPERIOD_OVERRIDE=FQ","FILING_STATUS=OR","FA_ADJUSTED=GAAP","Sort=A","Dates=H","DateFormat=P","Fill=—","Direction=H","UseDPDF=Y")</f>
        <v>18.519600000000001</v>
      </c>
      <c r="AC64" s="14">
        <f>_xll.BDH("XOM US Equity","CASH_CONVERSION_CYCLE","FQ1 2005","FQ1 2005","Currency=USD","Period=FQ","BEST_FPERIOD_OVERRIDE=FQ","FILING_STATUS=OR","FA_ADJUSTED=GAAP","Sort=A","Dates=H","DateFormat=P","Fill=—","Direction=H","UseDPDF=Y")</f>
        <v>-10.1114</v>
      </c>
      <c r="AD64" s="14">
        <f>_xll.BDH("XOM US Equity","CASH_CONVERSION_CYCLE","FQ2 2005","FQ2 2005","Currency=USD","Period=FQ","BEST_FPERIOD_OVERRIDE=FQ","FILING_STATUS=OR","FA_ADJUSTED=GAAP","Sort=A","Dates=H","DateFormat=P","Fill=—","Direction=H","UseDPDF=Y")</f>
        <v>-8.3326999999999991</v>
      </c>
      <c r="AE64" s="14">
        <f>_xll.BDH("XOM US Equity","CASH_CONVERSION_CYCLE","FQ3 2005","FQ3 2005","Currency=USD","Period=FQ","BEST_FPERIOD_OVERRIDE=FQ","FILING_STATUS=OR","FA_ADJUSTED=GAAP","Sort=A","Dates=H","DateFormat=P","Fill=—","Direction=H","UseDPDF=Y")</f>
        <v>-8.0879999999999992</v>
      </c>
      <c r="AF64" s="14">
        <f>_xll.BDH("XOM US Equity","CASH_CONVERSION_CYCLE","FQ4 2005","FQ4 2005","Currency=USD","Period=FQ","BEST_FPERIOD_OVERRIDE=FQ","FILING_STATUS=OR","FA_ADJUSTED=GAAP","Sort=A","Dates=H","DateFormat=P","Fill=—","Direction=H","UseDPDF=Y")</f>
        <v>13.4244</v>
      </c>
      <c r="AG64" s="14">
        <f>_xll.BDH("XOM US Equity","CASH_CONVERSION_CYCLE","FQ1 2006","FQ1 2006","Currency=USD","Period=FQ","BEST_FPERIOD_OVERRIDE=FQ","FILING_STATUS=OR","FA_ADJUSTED=GAAP","Sort=A","Dates=H","DateFormat=P","Fill=—","Direction=H","UseDPDF=Y")</f>
        <v>-8.3581000000000003</v>
      </c>
      <c r="AH64" s="14">
        <f>_xll.BDH("XOM US Equity","CASH_CONVERSION_CYCLE","FQ2 2006","FQ2 2006","Currency=USD","Period=FQ","BEST_FPERIOD_OVERRIDE=FQ","FILING_STATUS=OR","FA_ADJUSTED=GAAP","Sort=A","Dates=H","DateFormat=P","Fill=—","Direction=H","UseDPDF=Y")</f>
        <v>-7.8711000000000002</v>
      </c>
      <c r="AI64" s="14">
        <f>_xll.BDH("XOM US Equity","CASH_CONVERSION_CYCLE","FQ3 2006","FQ3 2006","Currency=USD","Period=FQ","BEST_FPERIOD_OVERRIDE=FQ","FILING_STATUS=OR","FA_ADJUSTED=GAAP","Sort=A","Dates=H","DateFormat=P","Fill=—","Direction=H","UseDPDF=Y")</f>
        <v>-9.9663000000000004</v>
      </c>
      <c r="AJ64" s="14">
        <f>_xll.BDH("XOM US Equity","CASH_CONVERSION_CYCLE","FQ4 2006","FQ4 2006","Currency=USD","Period=FQ","BEST_FPERIOD_OVERRIDE=FQ","FILING_STATUS=OR","FA_ADJUSTED=GAAP","Sort=A","Dates=H","DateFormat=P","Fill=—","Direction=H","UseDPDF=Y")</f>
        <v>1.8944999999999999</v>
      </c>
      <c r="AK64" s="14">
        <f>_xll.BDH("XOM US Equity","CASH_CONVERSION_CYCLE","FQ1 2007","FQ1 2007","Currency=USD","Period=FQ","BEST_FPERIOD_OVERRIDE=FQ","FILING_STATUS=OR","FA_ADJUSTED=GAAP","Sort=A","Dates=H","DateFormat=P","Fill=—","Direction=H","UseDPDF=Y")</f>
        <v>-7.5397999999999996</v>
      </c>
      <c r="AL64" s="14">
        <f>_xll.BDH("XOM US Equity","CASH_CONVERSION_CYCLE","FQ2 2007","FQ2 2007","Currency=USD","Period=FQ","BEST_FPERIOD_OVERRIDE=FQ","FILING_STATUS=OR","FA_ADJUSTED=GAAP","Sort=A","Dates=H","DateFormat=P","Fill=—","Direction=H","UseDPDF=Y")</f>
        <v>-6.5716000000000001</v>
      </c>
      <c r="AM64" s="14">
        <f>_xll.BDH("XOM US Equity","CASH_CONVERSION_CYCLE","FQ3 2007","FQ3 2007","Currency=USD","Period=FQ","BEST_FPERIOD_OVERRIDE=FQ","FILING_STATUS=OR","FA_ADJUSTED=GAAP","Sort=A","Dates=H","DateFormat=P","Fill=—","Direction=H","UseDPDF=Y")</f>
        <v>-7.3029999999999999</v>
      </c>
      <c r="AN64" s="14">
        <f>_xll.BDH("XOM US Equity","CASH_CONVERSION_CYCLE","FQ4 2007","FQ4 2007","Currency=USD","Period=FQ","BEST_FPERIOD_OVERRIDE=FQ","FILING_STATUS=OR","FA_ADJUSTED=GAAP","Sort=A","Dates=H","DateFormat=P","Fill=—","Direction=H","UseDPDF=Y")</f>
        <v>-6.7641</v>
      </c>
      <c r="AO64" s="14">
        <f>_xll.BDH("XOM US Equity","CASH_CONVERSION_CYCLE","FQ1 2008","FQ1 2008","Currency=USD","Period=FQ","BEST_FPERIOD_OVERRIDE=FQ","FILING_STATUS=OR","FA_ADJUSTED=GAAP","Sort=A","Dates=H","DateFormat=P","Fill=—","Direction=H","UseDPDF=Y")</f>
        <v>-7.5079000000000002</v>
      </c>
      <c r="AP64" s="14">
        <f>_xll.BDH("XOM US Equity","CASH_CONVERSION_CYCLE","FQ2 2008","FQ2 2008","Currency=USD","Period=FQ","BEST_FPERIOD_OVERRIDE=FQ","FILING_STATUS=OR","FA_ADJUSTED=GAAP","Sort=A","Dates=H","DateFormat=P","Fill=—","Direction=H","UseDPDF=Y")</f>
        <v>-7.3483999999999998</v>
      </c>
    </row>
    <row r="65" spans="1:42" x14ac:dyDescent="0.25">
      <c r="A65" s="10" t="s">
        <v>283</v>
      </c>
      <c r="B65" s="10" t="s">
        <v>284</v>
      </c>
      <c r="C65" s="14" t="str">
        <f>_xll.BDH("XOM US Equity","NUM_OF_EMPLOYEES","FQ3 1998","FQ3 1998","Currency=USD","Period=FQ","BEST_FPERIOD_OVERRIDE=FQ","FILING_STATUS=OR","Sort=A","Dates=H","DateFormat=P","Fill=—","Direction=H","UseDPDF=Y")</f>
        <v>—</v>
      </c>
      <c r="D65" s="14" t="str">
        <f>_xll.BDH("XOM US Equity","NUM_OF_EMPLOYEES","FQ4 1998","FQ4 1998","Currency=USD","Period=FQ","BEST_FPERIOD_OVERRIDE=FQ","FILING_STATUS=OR","Sort=A","Dates=H","DateFormat=P","Fill=—","Direction=H","UseDPDF=Y")</f>
        <v>—</v>
      </c>
      <c r="E65" s="14" t="str">
        <f>_xll.BDH("XOM US Equity","NUM_OF_EMPLOYEES","FQ1 1999","FQ1 1999","Currency=USD","Period=FQ","BEST_FPERIOD_OVERRIDE=FQ","FILING_STATUS=OR","Sort=A","Dates=H","DateFormat=P","Fill=—","Direction=H","UseDPDF=Y")</f>
        <v>—</v>
      </c>
      <c r="F65" s="14" t="str">
        <f>_xll.BDH("XOM US Equity","NUM_OF_EMPLOYEES","FQ2 1999","FQ2 1999","Currency=USD","Period=FQ","BEST_FPERIOD_OVERRIDE=FQ","FILING_STATUS=OR","Sort=A","Dates=H","DateFormat=P","Fill=—","Direction=H","UseDPDF=Y")</f>
        <v>—</v>
      </c>
      <c r="G65" s="14" t="str">
        <f>_xll.BDH("XOM US Equity","NUM_OF_EMPLOYEES","FQ3 1999","FQ3 1999","Currency=USD","Period=FQ","BEST_FPERIOD_OVERRIDE=FQ","FILING_STATUS=OR","Sort=A","Dates=H","DateFormat=P","Fill=—","Direction=H","UseDPDF=Y")</f>
        <v>—</v>
      </c>
      <c r="H65" s="14" t="str">
        <f>_xll.BDH("XOM US Equity","NUM_OF_EMPLOYEES","FQ4 1999","FQ4 1999","Currency=USD","Period=FQ","BEST_FPERIOD_OVERRIDE=FQ","FILING_STATUS=OR","Sort=A","Dates=H","DateFormat=P","Fill=—","Direction=H","UseDPDF=Y")</f>
        <v>—</v>
      </c>
      <c r="I65" s="14" t="str">
        <f>_xll.BDH("XOM US Equity","NUM_OF_EMPLOYEES","FQ1 2000","FQ1 2000","Currency=USD","Period=FQ","BEST_FPERIOD_OVERRIDE=FQ","FILING_STATUS=OR","Sort=A","Dates=H","DateFormat=P","Fill=—","Direction=H","UseDPDF=Y")</f>
        <v>—</v>
      </c>
      <c r="J65" s="14" t="str">
        <f>_xll.BDH("XOM US Equity","NUM_OF_EMPLOYEES","FQ2 2000","FQ2 2000","Currency=USD","Period=FQ","BEST_FPERIOD_OVERRIDE=FQ","FILING_STATUS=OR","Sort=A","Dates=H","DateFormat=P","Fill=—","Direction=H","UseDPDF=Y")</f>
        <v>—</v>
      </c>
      <c r="K65" s="14" t="str">
        <f>_xll.BDH("XOM US Equity","NUM_OF_EMPLOYEES","FQ3 2000","FQ3 2000","Currency=USD","Period=FQ","BEST_FPERIOD_OVERRIDE=FQ","FILING_STATUS=OR","Sort=A","Dates=H","DateFormat=P","Fill=—","Direction=H","UseDPDF=Y")</f>
        <v>—</v>
      </c>
      <c r="L65" s="14" t="str">
        <f>_xll.BDH("XOM US Equity","NUM_OF_EMPLOYEES","FQ4 2000","FQ4 2000","Currency=USD","Period=FQ","BEST_FPERIOD_OVERRIDE=FQ","FILING_STATUS=OR","Sort=A","Dates=H","DateFormat=P","Fill=—","Direction=H","UseDPDF=Y")</f>
        <v>—</v>
      </c>
      <c r="M65" s="14" t="str">
        <f>_xll.BDH("XOM US Equity","NUM_OF_EMPLOYEES","FQ1 2001","FQ1 2001","Currency=USD","Period=FQ","BEST_FPERIOD_OVERRIDE=FQ","FILING_STATUS=OR","Sort=A","Dates=H","DateFormat=P","Fill=—","Direction=H","UseDPDF=Y")</f>
        <v>—</v>
      </c>
      <c r="N65" s="14" t="str">
        <f>_xll.BDH("XOM US Equity","NUM_OF_EMPLOYEES","FQ2 2001","FQ2 2001","Currency=USD","Period=FQ","BEST_FPERIOD_OVERRIDE=FQ","FILING_STATUS=OR","Sort=A","Dates=H","DateFormat=P","Fill=—","Direction=H","UseDPDF=Y")</f>
        <v>—</v>
      </c>
      <c r="O65" s="14" t="str">
        <f>_xll.BDH("XOM US Equity","NUM_OF_EMPLOYEES","FQ3 2001","FQ3 2001","Currency=USD","Period=FQ","BEST_FPERIOD_OVERRIDE=FQ","FILING_STATUS=OR","Sort=A","Dates=H","DateFormat=P","Fill=—","Direction=H","UseDPDF=Y")</f>
        <v>—</v>
      </c>
      <c r="P65" s="14" t="str">
        <f>_xll.BDH("XOM US Equity","NUM_OF_EMPLOYEES","FQ4 2001","FQ4 2001","Currency=USD","Period=FQ","BEST_FPERIOD_OVERRIDE=FQ","FILING_STATUS=OR","Sort=A","Dates=H","DateFormat=P","Fill=—","Direction=H","UseDPDF=Y")</f>
        <v>—</v>
      </c>
      <c r="Q65" s="14" t="str">
        <f>_xll.BDH("XOM US Equity","NUM_OF_EMPLOYEES","FQ1 2002","FQ1 2002","Currency=USD","Period=FQ","BEST_FPERIOD_OVERRIDE=FQ","FILING_STATUS=OR","Sort=A","Dates=H","DateFormat=P","Fill=—","Direction=H","UseDPDF=Y")</f>
        <v>—</v>
      </c>
      <c r="R65" s="14" t="str">
        <f>_xll.BDH("XOM US Equity","NUM_OF_EMPLOYEES","FQ2 2002","FQ2 2002","Currency=USD","Period=FQ","BEST_FPERIOD_OVERRIDE=FQ","FILING_STATUS=OR","Sort=A","Dates=H","DateFormat=P","Fill=—","Direction=H","UseDPDF=Y")</f>
        <v>—</v>
      </c>
      <c r="S65" s="14" t="str">
        <f>_xll.BDH("XOM US Equity","NUM_OF_EMPLOYEES","FQ3 2002","FQ3 2002","Currency=USD","Period=FQ","BEST_FPERIOD_OVERRIDE=FQ","FILING_STATUS=OR","Sort=A","Dates=H","DateFormat=P","Fill=—","Direction=H","UseDPDF=Y")</f>
        <v>—</v>
      </c>
      <c r="T65" s="14" t="str">
        <f>_xll.BDH("XOM US Equity","NUM_OF_EMPLOYEES","FQ4 2002","FQ4 2002","Currency=USD","Period=FQ","BEST_FPERIOD_OVERRIDE=FQ","FILING_STATUS=OR","Sort=A","Dates=H","DateFormat=P","Fill=—","Direction=H","UseDPDF=Y")</f>
        <v>—</v>
      </c>
      <c r="U65" s="14" t="str">
        <f>_xll.BDH("XOM US Equity","NUM_OF_EMPLOYEES","FQ1 2003","FQ1 2003","Currency=USD","Period=FQ","BEST_FPERIOD_OVERRIDE=FQ","FILING_STATUS=OR","Sort=A","Dates=H","DateFormat=P","Fill=—","Direction=H","UseDPDF=Y")</f>
        <v>—</v>
      </c>
      <c r="V65" s="14" t="str">
        <f>_xll.BDH("XOM US Equity","NUM_OF_EMPLOYEES","FQ2 2003","FQ2 2003","Currency=USD","Period=FQ","BEST_FPERIOD_OVERRIDE=FQ","FILING_STATUS=OR","Sort=A","Dates=H","DateFormat=P","Fill=—","Direction=H","UseDPDF=Y")</f>
        <v>—</v>
      </c>
      <c r="W65" s="14" t="str">
        <f>_xll.BDH("XOM US Equity","NUM_OF_EMPLOYEES","FQ3 2003","FQ3 2003","Currency=USD","Period=FQ","BEST_FPERIOD_OVERRIDE=FQ","FILING_STATUS=OR","Sort=A","Dates=H","DateFormat=P","Fill=—","Direction=H","UseDPDF=Y")</f>
        <v>—</v>
      </c>
      <c r="X65" s="14" t="str">
        <f>_xll.BDH("XOM US Equity","NUM_OF_EMPLOYEES","FQ4 2003","FQ4 2003","Currency=USD","Period=FQ","BEST_FPERIOD_OVERRIDE=FQ","FILING_STATUS=OR","Sort=A","Dates=H","DateFormat=P","Fill=—","Direction=H","UseDPDF=Y")</f>
        <v>—</v>
      </c>
      <c r="Y65" s="14" t="str">
        <f>_xll.BDH("XOM US Equity","NUM_OF_EMPLOYEES","FQ1 2004","FQ1 2004","Currency=USD","Period=FQ","BEST_FPERIOD_OVERRIDE=FQ","FILING_STATUS=OR","Sort=A","Dates=H","DateFormat=P","Fill=—","Direction=H","UseDPDF=Y")</f>
        <v>—</v>
      </c>
      <c r="Z65" s="14" t="str">
        <f>_xll.BDH("XOM US Equity","NUM_OF_EMPLOYEES","FQ2 2004","FQ2 2004","Currency=USD","Period=FQ","BEST_FPERIOD_OVERRIDE=FQ","FILING_STATUS=OR","Sort=A","Dates=H","DateFormat=P","Fill=—","Direction=H","UseDPDF=Y")</f>
        <v>—</v>
      </c>
      <c r="AA65" s="14" t="str">
        <f>_xll.BDH("XOM US Equity","NUM_OF_EMPLOYEES","FQ3 2004","FQ3 2004","Currency=USD","Period=FQ","BEST_FPERIOD_OVERRIDE=FQ","FILING_STATUS=OR","Sort=A","Dates=H","DateFormat=P","Fill=—","Direction=H","UseDPDF=Y")</f>
        <v>—</v>
      </c>
      <c r="AB65" s="14">
        <f>_xll.BDH("XOM US Equity","NUM_OF_EMPLOYEES","FQ4 2004","FQ4 2004","Currency=USD","Period=FQ","BEST_FPERIOD_OVERRIDE=FQ","FILING_STATUS=OR","Sort=A","Dates=H","DateFormat=P","Fill=—","Direction=H","UseDPDF=Y")</f>
        <v>85900</v>
      </c>
      <c r="AC65" s="14" t="str">
        <f>_xll.BDH("XOM US Equity","NUM_OF_EMPLOYEES","FQ1 2005","FQ1 2005","Currency=USD","Period=FQ","BEST_FPERIOD_OVERRIDE=FQ","FILING_STATUS=OR","Sort=A","Dates=H","DateFormat=P","Fill=—","Direction=H","UseDPDF=Y")</f>
        <v>—</v>
      </c>
      <c r="AD65" s="14" t="str">
        <f>_xll.BDH("XOM US Equity","NUM_OF_EMPLOYEES","FQ2 2005","FQ2 2005","Currency=USD","Period=FQ","BEST_FPERIOD_OVERRIDE=FQ","FILING_STATUS=OR","Sort=A","Dates=H","DateFormat=P","Fill=—","Direction=H","UseDPDF=Y")</f>
        <v>—</v>
      </c>
      <c r="AE65" s="14" t="str">
        <f>_xll.BDH("XOM US Equity","NUM_OF_EMPLOYEES","FQ3 2005","FQ3 2005","Currency=USD","Period=FQ","BEST_FPERIOD_OVERRIDE=FQ","FILING_STATUS=OR","Sort=A","Dates=H","DateFormat=P","Fill=—","Direction=H","UseDPDF=Y")</f>
        <v>—</v>
      </c>
      <c r="AF65" s="14">
        <f>_xll.BDH("XOM US Equity","NUM_OF_EMPLOYEES","FQ4 2005","FQ4 2005","Currency=USD","Period=FQ","BEST_FPERIOD_OVERRIDE=FQ","FILING_STATUS=OR","Sort=A","Dates=H","DateFormat=P","Fill=—","Direction=H","UseDPDF=Y")</f>
        <v>83700</v>
      </c>
      <c r="AG65" s="14" t="str">
        <f>_xll.BDH("XOM US Equity","NUM_OF_EMPLOYEES","FQ1 2006","FQ1 2006","Currency=USD","Period=FQ","BEST_FPERIOD_OVERRIDE=FQ","FILING_STATUS=OR","Sort=A","Dates=H","DateFormat=P","Fill=—","Direction=H","UseDPDF=Y")</f>
        <v>—</v>
      </c>
      <c r="AH65" s="14" t="str">
        <f>_xll.BDH("XOM US Equity","NUM_OF_EMPLOYEES","FQ2 2006","FQ2 2006","Currency=USD","Period=FQ","BEST_FPERIOD_OVERRIDE=FQ","FILING_STATUS=OR","Sort=A","Dates=H","DateFormat=P","Fill=—","Direction=H","UseDPDF=Y")</f>
        <v>—</v>
      </c>
      <c r="AI65" s="14" t="str">
        <f>_xll.BDH("XOM US Equity","NUM_OF_EMPLOYEES","FQ3 2006","FQ3 2006","Currency=USD","Period=FQ","BEST_FPERIOD_OVERRIDE=FQ","FILING_STATUS=OR","Sort=A","Dates=H","DateFormat=P","Fill=—","Direction=H","UseDPDF=Y")</f>
        <v>—</v>
      </c>
      <c r="AJ65" s="14">
        <f>_xll.BDH("XOM US Equity","NUM_OF_EMPLOYEES","FQ4 2006","FQ4 2006","Currency=USD","Period=FQ","BEST_FPERIOD_OVERRIDE=FQ","FILING_STATUS=OR","Sort=A","Dates=H","DateFormat=P","Fill=—","Direction=H","UseDPDF=Y")</f>
        <v>82100</v>
      </c>
      <c r="AK65" s="14" t="str">
        <f>_xll.BDH("XOM US Equity","NUM_OF_EMPLOYEES","FQ1 2007","FQ1 2007","Currency=USD","Period=FQ","BEST_FPERIOD_OVERRIDE=FQ","FILING_STATUS=OR","Sort=A","Dates=H","DateFormat=P","Fill=—","Direction=H","UseDPDF=Y")</f>
        <v>—</v>
      </c>
      <c r="AL65" s="14" t="str">
        <f>_xll.BDH("XOM US Equity","NUM_OF_EMPLOYEES","FQ2 2007","FQ2 2007","Currency=USD","Period=FQ","BEST_FPERIOD_OVERRIDE=FQ","FILING_STATUS=OR","Sort=A","Dates=H","DateFormat=P","Fill=—","Direction=H","UseDPDF=Y")</f>
        <v>—</v>
      </c>
      <c r="AM65" s="14" t="str">
        <f>_xll.BDH("XOM US Equity","NUM_OF_EMPLOYEES","FQ3 2007","FQ3 2007","Currency=USD","Period=FQ","BEST_FPERIOD_OVERRIDE=FQ","FILING_STATUS=OR","Sort=A","Dates=H","DateFormat=P","Fill=—","Direction=H","UseDPDF=Y")</f>
        <v>—</v>
      </c>
      <c r="AN65" s="14">
        <f>_xll.BDH("XOM US Equity","NUM_OF_EMPLOYEES","FQ4 2007","FQ4 2007","Currency=USD","Period=FQ","BEST_FPERIOD_OVERRIDE=FQ","FILING_STATUS=OR","Sort=A","Dates=H","DateFormat=P","Fill=—","Direction=H","UseDPDF=Y")</f>
        <v>80800</v>
      </c>
      <c r="AO65" s="14" t="str">
        <f>_xll.BDH("XOM US Equity","NUM_OF_EMPLOYEES","FQ1 2008","FQ1 2008","Currency=USD","Period=FQ","BEST_FPERIOD_OVERRIDE=FQ","FILING_STATUS=OR","Sort=A","Dates=H","DateFormat=P","Fill=—","Direction=H","UseDPDF=Y")</f>
        <v>—</v>
      </c>
      <c r="AP65" s="14" t="str">
        <f>_xll.BDH("XOM US Equity","NUM_OF_EMPLOYEES","FQ2 2008","FQ2 2008","Currency=USD","Period=FQ","BEST_FPERIOD_OVERRIDE=FQ","FILING_STATUS=OR","Sort=A","Dates=H","DateFormat=P","Fill=—","Direction=H","UseDPDF=Y")</f>
        <v>—</v>
      </c>
    </row>
    <row r="66" spans="1:42" x14ac:dyDescent="0.25">
      <c r="A66" s="7" t="s">
        <v>174</v>
      </c>
      <c r="B66" s="7"/>
      <c r="C66" s="7" t="s">
        <v>4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topLeftCell="U22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175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285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x14ac:dyDescent="0.25">
      <c r="A7" s="10" t="s">
        <v>286</v>
      </c>
      <c r="B7" s="10" t="s">
        <v>287</v>
      </c>
      <c r="C7" s="13">
        <f>_xll.BDH("XOM US Equity","CF_NET_INC","FQ3 1998","FQ3 1998","Currency=USD","Period=FQ","BEST_FPERIOD_OVERRIDE=FQ","FILING_STATUS=OR","SCALING_FORMAT=MLN","Sort=A","Dates=H","DateFormat=P","Fill=—","Direction=H","UseDPDF=Y")</f>
        <v>1400</v>
      </c>
      <c r="D7" s="13" t="str">
        <f>_xll.BDH("XOM US Equity","CF_NET_INC","FQ4 1998","FQ4 1998","Currency=USD","Period=FQ","BEST_FPERIOD_OVERRIDE=FQ","FILING_STATUS=OR","SCALING_FORMAT=MLN","Sort=A","Dates=H","DateFormat=P","Fill=—","Direction=H","UseDPDF=Y")</f>
        <v>—</v>
      </c>
      <c r="E7" s="13">
        <f>_xll.BDH("XOM US Equity","CF_NET_INC","FQ1 1999","FQ1 1999","Currency=USD","Period=FQ","BEST_FPERIOD_OVERRIDE=FQ","FILING_STATUS=OR","SCALING_FORMAT=MLN","Sort=A","Dates=H","DateFormat=P","Fill=—","Direction=H","UseDPDF=Y")</f>
        <v>1020</v>
      </c>
      <c r="F7" s="13">
        <f>_xll.BDH("XOM US Equity","CF_NET_INC","FQ2 1999","FQ2 1999","Currency=USD","Period=FQ","BEST_FPERIOD_OVERRIDE=FQ","FILING_STATUS=OR","SCALING_FORMAT=MLN","Sort=A","Dates=H","DateFormat=P","Fill=—","Direction=H","UseDPDF=Y")</f>
        <v>1205</v>
      </c>
      <c r="G7" s="13">
        <f>_xll.BDH("XOM US Equity","CF_NET_INC","FQ3 1999","FQ3 1999","Currency=USD","Period=FQ","BEST_FPERIOD_OVERRIDE=FQ","FILING_STATUS=OR","SCALING_FORMAT=MLN","Sort=A","Dates=H","DateFormat=P","Fill=—","Direction=H","UseDPDF=Y")</f>
        <v>1500</v>
      </c>
      <c r="H7" s="13">
        <f>_xll.BDH("XOM US Equity","CF_NET_INC","FQ4 1999","FQ4 1999","Currency=USD","Period=FQ","BEST_FPERIOD_OVERRIDE=FQ","FILING_STATUS=OR","SCALING_FORMAT=MLN","Sort=A","Dates=H","DateFormat=P","Fill=—","Direction=H","UseDPDF=Y")</f>
        <v>4185</v>
      </c>
      <c r="I7" s="13">
        <f>_xll.BDH("XOM US Equity","CF_NET_INC","FQ1 2000","FQ1 2000","Currency=USD","Period=FQ","BEST_FPERIOD_OVERRIDE=FQ","FILING_STATUS=OR","SCALING_FORMAT=MLN","Sort=A","Dates=H","DateFormat=P","Fill=—","Direction=H","UseDPDF=Y")</f>
        <v>3480</v>
      </c>
      <c r="J7" s="13">
        <f>_xll.BDH("XOM US Equity","CF_NET_INC","FQ2 2000","FQ2 2000","Currency=USD","Period=FQ","BEST_FPERIOD_OVERRIDE=FQ","FILING_STATUS=OR","SCALING_FORMAT=MLN","Sort=A","Dates=H","DateFormat=P","Fill=—","Direction=H","UseDPDF=Y")</f>
        <v>4530</v>
      </c>
      <c r="K7" s="13">
        <f>_xll.BDH("XOM US Equity","CF_NET_INC","FQ3 2000","FQ3 2000","Currency=USD","Period=FQ","BEST_FPERIOD_OVERRIDE=FQ","FILING_STATUS=OR","SCALING_FORMAT=MLN","Sort=A","Dates=H","DateFormat=P","Fill=—","Direction=H","UseDPDF=Y")</f>
        <v>4490</v>
      </c>
      <c r="L7" s="13">
        <f>_xll.BDH("XOM US Equity","CF_NET_INC","FQ4 2000","FQ4 2000","Currency=USD","Period=FQ","BEST_FPERIOD_OVERRIDE=FQ","FILING_STATUS=OR","SCALING_FORMAT=MLN","Sort=A","Dates=H","DateFormat=P","Fill=—","Direction=H","UseDPDF=Y")</f>
        <v>5220</v>
      </c>
      <c r="M7" s="13">
        <f>_xll.BDH("XOM US Equity","CF_NET_INC","FQ1 2001","FQ1 2001","Currency=USD","Period=FQ","BEST_FPERIOD_OVERRIDE=FQ","FILING_STATUS=OR","SCALING_FORMAT=MLN","Sort=A","Dates=H","DateFormat=P","Fill=—","Direction=H","UseDPDF=Y")</f>
        <v>5000</v>
      </c>
      <c r="N7" s="13">
        <f>_xll.BDH("XOM US Equity","CF_NET_INC","FQ2 2001","FQ2 2001","Currency=USD","Period=FQ","BEST_FPERIOD_OVERRIDE=FQ","FILING_STATUS=OR","SCALING_FORMAT=MLN","Sort=A","Dates=H","DateFormat=P","Fill=—","Direction=H","UseDPDF=Y")</f>
        <v>4460</v>
      </c>
      <c r="O7" s="13">
        <f>_xll.BDH("XOM US Equity","CF_NET_INC","FQ3 2001","FQ3 2001","Currency=USD","Period=FQ","BEST_FPERIOD_OVERRIDE=FQ","FILING_STATUS=OR","SCALING_FORMAT=MLN","Sort=A","Dates=H","DateFormat=P","Fill=—","Direction=H","UseDPDF=Y")</f>
        <v>3180</v>
      </c>
      <c r="P7" s="13">
        <f>_xll.BDH("XOM US Equity","CF_NET_INC","FQ4 2001","FQ4 2001","Currency=USD","Period=FQ","BEST_FPERIOD_OVERRIDE=FQ","FILING_STATUS=OR","SCALING_FORMAT=MLN","Sort=A","Dates=H","DateFormat=P","Fill=—","Direction=H","UseDPDF=Y")</f>
        <v>2680</v>
      </c>
      <c r="Q7" s="13">
        <f>_xll.BDH("XOM US Equity","CF_NET_INC","FQ1 2002","FQ1 2002","Currency=USD","Period=FQ","BEST_FPERIOD_OVERRIDE=FQ","FILING_STATUS=OR","SCALING_FORMAT=MLN","Sort=A","Dates=H","DateFormat=P","Fill=—","Direction=H","UseDPDF=Y")</f>
        <v>2090</v>
      </c>
      <c r="R7" s="13">
        <f>_xll.BDH("XOM US Equity","CF_NET_INC","FQ2 2002","FQ2 2002","Currency=USD","Period=FQ","BEST_FPERIOD_OVERRIDE=FQ","FILING_STATUS=OR","SCALING_FORMAT=MLN","Sort=A","Dates=H","DateFormat=P","Fill=—","Direction=H","UseDPDF=Y")</f>
        <v>2640</v>
      </c>
      <c r="S7" s="13">
        <f>_xll.BDH("XOM US Equity","CF_NET_INC","FQ3 2002","FQ3 2002","Currency=USD","Period=FQ","BEST_FPERIOD_OVERRIDE=FQ","FILING_STATUS=OR","SCALING_FORMAT=MLN","Sort=A","Dates=H","DateFormat=P","Fill=—","Direction=H","UseDPDF=Y")</f>
        <v>2640</v>
      </c>
      <c r="T7" s="13">
        <f>_xll.BDH("XOM US Equity","CF_NET_INC","FQ4 2002","FQ4 2002","Currency=USD","Period=FQ","BEST_FPERIOD_OVERRIDE=FQ","FILING_STATUS=OR","SCALING_FORMAT=MLN","Sort=A","Dates=H","DateFormat=P","Fill=—","Direction=H","UseDPDF=Y")</f>
        <v>4090</v>
      </c>
      <c r="U7" s="13">
        <f>_xll.BDH("XOM US Equity","CF_NET_INC","FQ1 2003","FQ1 2003","Currency=USD","Period=FQ","BEST_FPERIOD_OVERRIDE=FQ","FILING_STATUS=OR","SCALING_FORMAT=MLN","Sort=A","Dates=H","DateFormat=P","Fill=—","Direction=H","UseDPDF=Y")</f>
        <v>7040</v>
      </c>
      <c r="V7" s="13">
        <f>_xll.BDH("XOM US Equity","CF_NET_INC","FQ2 2003","FQ2 2003","Currency=USD","Period=FQ","BEST_FPERIOD_OVERRIDE=FQ","FILING_STATUS=OR","SCALING_FORMAT=MLN","Sort=A","Dates=H","DateFormat=P","Fill=—","Direction=H","UseDPDF=Y")</f>
        <v>4170</v>
      </c>
      <c r="W7" s="13">
        <f>_xll.BDH("XOM US Equity","CF_NET_INC","FQ3 2003","FQ3 2003","Currency=USD","Period=FQ","BEST_FPERIOD_OVERRIDE=FQ","FILING_STATUS=OR","SCALING_FORMAT=MLN","Sort=A","Dates=H","DateFormat=P","Fill=—","Direction=H","UseDPDF=Y")</f>
        <v>3650</v>
      </c>
      <c r="X7" s="13">
        <f>_xll.BDH("XOM US Equity","CF_NET_INC","FQ4 2003","FQ4 2003","Currency=USD","Period=FQ","BEST_FPERIOD_OVERRIDE=FQ","FILING_STATUS=OR","SCALING_FORMAT=MLN","Sort=A","Dates=H","DateFormat=P","Fill=—","Direction=H","UseDPDF=Y")</f>
        <v>6650</v>
      </c>
      <c r="Y7" s="13">
        <f>_xll.BDH("XOM US Equity","CF_NET_INC","FQ1 2004","FQ1 2004","Currency=USD","Period=FQ","BEST_FPERIOD_OVERRIDE=FQ","FILING_STATUS=OR","SCALING_FORMAT=MLN","Sort=A","Dates=H","DateFormat=P","Fill=—","Direction=H","UseDPDF=Y")</f>
        <v>5440</v>
      </c>
      <c r="Z7" s="13">
        <f>_xll.BDH("XOM US Equity","CF_NET_INC","FQ2 2004","FQ2 2004","Currency=USD","Period=FQ","BEST_FPERIOD_OVERRIDE=FQ","FILING_STATUS=OR","SCALING_FORMAT=MLN","Sort=A","Dates=H","DateFormat=P","Fill=—","Direction=H","UseDPDF=Y")</f>
        <v>5790</v>
      </c>
      <c r="AA7" s="13">
        <f>_xll.BDH("XOM US Equity","CF_NET_INC","FQ3 2004","FQ3 2004","Currency=USD","Period=FQ","BEST_FPERIOD_OVERRIDE=FQ","FILING_STATUS=OR","SCALING_FORMAT=MLN","Sort=A","Dates=H","DateFormat=P","Fill=—","Direction=H","UseDPDF=Y")</f>
        <v>5680</v>
      </c>
      <c r="AB7" s="13">
        <f>_xll.BDH("XOM US Equity","CF_NET_INC","FQ4 2004","FQ4 2004","Currency=USD","Period=FQ","BEST_FPERIOD_OVERRIDE=FQ","FILING_STATUS=OR","SCALING_FORMAT=MLN","Sort=A","Dates=H","DateFormat=P","Fill=—","Direction=H","UseDPDF=Y")</f>
        <v>8420</v>
      </c>
      <c r="AC7" s="13">
        <f>_xll.BDH("XOM US Equity","CF_NET_INC","FQ1 2005","FQ1 2005","Currency=USD","Period=FQ","BEST_FPERIOD_OVERRIDE=FQ","FILING_STATUS=OR","SCALING_FORMAT=MLN","Sort=A","Dates=H","DateFormat=P","Fill=—","Direction=H","UseDPDF=Y")</f>
        <v>7860</v>
      </c>
      <c r="AD7" s="13">
        <f>_xll.BDH("XOM US Equity","CF_NET_INC","FQ2 2005","FQ2 2005","Currency=USD","Period=FQ","BEST_FPERIOD_OVERRIDE=FQ","FILING_STATUS=OR","SCALING_FORMAT=MLN","Sort=A","Dates=H","DateFormat=P","Fill=—","Direction=H","UseDPDF=Y")</f>
        <v>7640</v>
      </c>
      <c r="AE7" s="13">
        <f>_xll.BDH("XOM US Equity","CF_NET_INC","FQ3 2005","FQ3 2005","Currency=USD","Period=FQ","BEST_FPERIOD_OVERRIDE=FQ","FILING_STATUS=OR","SCALING_FORMAT=MLN","Sort=A","Dates=H","DateFormat=P","Fill=—","Direction=H","UseDPDF=Y")</f>
        <v>9920</v>
      </c>
      <c r="AF7" s="13">
        <f>_xll.BDH("XOM US Equity","CF_NET_INC","FQ4 2005","FQ4 2005","Currency=USD","Period=FQ","BEST_FPERIOD_OVERRIDE=FQ","FILING_STATUS=OR","SCALING_FORMAT=MLN","Sort=A","Dates=H","DateFormat=P","Fill=—","Direction=H","UseDPDF=Y")</f>
        <v>10710</v>
      </c>
      <c r="AG7" s="13">
        <f>_xll.BDH("XOM US Equity","CF_NET_INC","FQ1 2006","FQ1 2006","Currency=USD","Period=FQ","BEST_FPERIOD_OVERRIDE=FQ","FILING_STATUS=OR","SCALING_FORMAT=MLN","Sort=A","Dates=H","DateFormat=P","Fill=—","Direction=H","UseDPDF=Y")</f>
        <v>8400</v>
      </c>
      <c r="AH7" s="13">
        <f>_xll.BDH("XOM US Equity","CF_NET_INC","FQ2 2006","FQ2 2006","Currency=USD","Period=FQ","BEST_FPERIOD_OVERRIDE=FQ","FILING_STATUS=OR","SCALING_FORMAT=MLN","Sort=A","Dates=H","DateFormat=P","Fill=—","Direction=H","UseDPDF=Y")</f>
        <v>10360</v>
      </c>
      <c r="AI7" s="13">
        <f>_xll.BDH("XOM US Equity","CF_NET_INC","FQ3 2006","FQ3 2006","Currency=USD","Period=FQ","BEST_FPERIOD_OVERRIDE=FQ","FILING_STATUS=OR","SCALING_FORMAT=MLN","Sort=A","Dates=H","DateFormat=P","Fill=—","Direction=H","UseDPDF=Y")</f>
        <v>10490</v>
      </c>
      <c r="AJ7" s="13">
        <f>_xll.BDH("XOM US Equity","CF_NET_INC","FQ4 2006","FQ4 2006","Currency=USD","Period=FQ","BEST_FPERIOD_OVERRIDE=FQ","FILING_STATUS=OR","SCALING_FORMAT=MLN","Sort=A","Dates=H","DateFormat=P","Fill=—","Direction=H","UseDPDF=Y")</f>
        <v>10250</v>
      </c>
      <c r="AK7" s="13">
        <f>_xll.BDH("XOM US Equity","CF_NET_INC","FQ1 2007","FQ1 2007","Currency=USD","Period=FQ","BEST_FPERIOD_OVERRIDE=FQ","FILING_STATUS=OR","SCALING_FORMAT=MLN","Sort=A","Dates=H","DateFormat=P","Fill=—","Direction=H","UseDPDF=Y")</f>
        <v>9280</v>
      </c>
      <c r="AL7" s="13">
        <f>_xll.BDH("XOM US Equity","CF_NET_INC","FQ2 2007","FQ2 2007","Currency=USD","Period=FQ","BEST_FPERIOD_OVERRIDE=FQ","FILING_STATUS=OR","SCALING_FORMAT=MLN","Sort=A","Dates=H","DateFormat=P","Fill=—","Direction=H","UseDPDF=Y")</f>
        <v>10260</v>
      </c>
      <c r="AM7" s="13">
        <f>_xll.BDH("XOM US Equity","CF_NET_INC","FQ3 2007","FQ3 2007","Currency=USD","Period=FQ","BEST_FPERIOD_OVERRIDE=FQ","FILING_STATUS=OR","SCALING_FORMAT=MLN","Sort=A","Dates=H","DateFormat=P","Fill=—","Direction=H","UseDPDF=Y")</f>
        <v>9410</v>
      </c>
      <c r="AN7" s="13">
        <f>_xll.BDH("XOM US Equity","CF_NET_INC","FQ4 2007","FQ4 2007","Currency=USD","Period=FQ","BEST_FPERIOD_OVERRIDE=FQ","FILING_STATUS=OR","SCALING_FORMAT=MLN","Sort=A","Dates=H","DateFormat=P","Fill=—","Direction=H","UseDPDF=Y")</f>
        <v>11660</v>
      </c>
      <c r="AO7" s="13">
        <f>_xll.BDH("XOM US Equity","CF_NET_INC","FQ1 2008","FQ1 2008","Currency=USD","Period=FQ","BEST_FPERIOD_OVERRIDE=FQ","FILING_STATUS=OR","SCALING_FORMAT=MLN","Sort=A","Dates=H","DateFormat=P","Fill=—","Direction=H","UseDPDF=Y")</f>
        <v>10890</v>
      </c>
      <c r="AP7" s="13">
        <f>_xll.BDH("XOM US Equity","CF_NET_INC","FQ2 2008","FQ2 2008","Currency=USD","Period=FQ","BEST_FPERIOD_OVERRIDE=FQ","FILING_STATUS=OR","SCALING_FORMAT=MLN","Sort=A","Dates=H","DateFormat=P","Fill=—","Direction=H","UseDPDF=Y")</f>
        <v>11680</v>
      </c>
    </row>
    <row r="8" spans="1:42" x14ac:dyDescent="0.25">
      <c r="A8" s="10" t="s">
        <v>288</v>
      </c>
      <c r="B8" s="10" t="s">
        <v>289</v>
      </c>
      <c r="C8" s="13">
        <f>_xll.BDH("XOM US Equity","CF_DEPR_AMORT","FQ3 1998","FQ3 1998","Currency=USD","Period=FQ","BEST_FPERIOD_OVERRIDE=FQ","FILING_STATUS=OR","SCALING_FORMAT=MLN","Sort=A","Dates=H","DateFormat=P","Fill=—","Direction=H","UseDPDF=Y")</f>
        <v>1337</v>
      </c>
      <c r="D8" s="13">
        <f>_xll.BDH("XOM US Equity","CF_DEPR_AMORT","FQ4 1998","FQ4 1998","Currency=USD","Period=FQ","BEST_FPERIOD_OVERRIDE=FQ","FILING_STATUS=OR","SCALING_FORMAT=MLN","Sort=A","Dates=H","DateFormat=P","Fill=—","Direction=H","UseDPDF=Y")</f>
        <v>1225</v>
      </c>
      <c r="E8" s="13">
        <f>_xll.BDH("XOM US Equity","CF_DEPR_AMORT","FQ1 1999","FQ1 1999","Currency=USD","Period=FQ","BEST_FPERIOD_OVERRIDE=FQ","FILING_STATUS=OR","SCALING_FORMAT=MLN","Sort=A","Dates=H","DateFormat=P","Fill=—","Direction=H","UseDPDF=Y")</f>
        <v>1528</v>
      </c>
      <c r="F8" s="13">
        <f>_xll.BDH("XOM US Equity","CF_DEPR_AMORT","FQ2 1999","FQ2 1999","Currency=USD","Period=FQ","BEST_FPERIOD_OVERRIDE=FQ","FILING_STATUS=OR","SCALING_FORMAT=MLN","Sort=A","Dates=H","DateFormat=P","Fill=—","Direction=H","UseDPDF=Y")</f>
        <v>1347</v>
      </c>
      <c r="G8" s="13">
        <f>_xll.BDH("XOM US Equity","CF_DEPR_AMORT","FQ3 1999","FQ3 1999","Currency=USD","Period=FQ","BEST_FPERIOD_OVERRIDE=FQ","FILING_STATUS=OR","SCALING_FORMAT=MLN","Sort=A","Dates=H","DateFormat=P","Fill=—","Direction=H","UseDPDF=Y")</f>
        <v>1319</v>
      </c>
      <c r="H8" s="13">
        <f>_xll.BDH("XOM US Equity","CF_DEPR_AMORT","FQ4 1999","FQ4 1999","Currency=USD","Period=FQ","BEST_FPERIOD_OVERRIDE=FQ","FILING_STATUS=OR","SCALING_FORMAT=MLN","Sort=A","Dates=H","DateFormat=P","Fill=—","Direction=H","UseDPDF=Y")</f>
        <v>4110</v>
      </c>
      <c r="I8" s="13">
        <f>_xll.BDH("XOM US Equity","CF_DEPR_AMORT","FQ1 2000","FQ1 2000","Currency=USD","Period=FQ","BEST_FPERIOD_OVERRIDE=FQ","FILING_STATUS=OR","SCALING_FORMAT=MLN","Sort=A","Dates=H","DateFormat=P","Fill=—","Direction=H","UseDPDF=Y")</f>
        <v>2128</v>
      </c>
      <c r="J8" s="13">
        <f>_xll.BDH("XOM US Equity","CF_DEPR_AMORT","FQ2 2000","FQ2 2000","Currency=USD","Period=FQ","BEST_FPERIOD_OVERRIDE=FQ","FILING_STATUS=OR","SCALING_FORMAT=MLN","Sort=A","Dates=H","DateFormat=P","Fill=—","Direction=H","UseDPDF=Y")</f>
        <v>1939</v>
      </c>
      <c r="K8" s="13">
        <f>_xll.BDH("XOM US Equity","CF_DEPR_AMORT","FQ3 2000","FQ3 2000","Currency=USD","Period=FQ","BEST_FPERIOD_OVERRIDE=FQ","FILING_STATUS=OR","SCALING_FORMAT=MLN","Sort=A","Dates=H","DateFormat=P","Fill=—","Direction=H","UseDPDF=Y")</f>
        <v>1901</v>
      </c>
      <c r="L8" s="13">
        <f>_xll.BDH("XOM US Equity","CF_DEPR_AMORT","FQ4 2000","FQ4 2000","Currency=USD","Period=FQ","BEST_FPERIOD_OVERRIDE=FQ","FILING_STATUS=OR","SCALING_FORMAT=MLN","Sort=A","Dates=H","DateFormat=P","Fill=—","Direction=H","UseDPDF=Y")</f>
        <v>2162</v>
      </c>
      <c r="M8" s="13">
        <f>_xll.BDH("XOM US Equity","CF_DEPR_AMORT","FQ1 2001","FQ1 2001","Currency=USD","Period=FQ","BEST_FPERIOD_OVERRIDE=FQ","FILING_STATUS=OR","SCALING_FORMAT=MLN","Sort=A","Dates=H","DateFormat=P","Fill=—","Direction=H","UseDPDF=Y")</f>
        <v>1976</v>
      </c>
      <c r="N8" s="13">
        <f>_xll.BDH("XOM US Equity","CF_DEPR_AMORT","FQ2 2001","FQ2 2001","Currency=USD","Period=FQ","BEST_FPERIOD_OVERRIDE=FQ","FILING_STATUS=OR","SCALING_FORMAT=MLN","Sort=A","Dates=H","DateFormat=P","Fill=—","Direction=H","UseDPDF=Y")</f>
        <v>1871</v>
      </c>
      <c r="O8" s="13">
        <f>_xll.BDH("XOM US Equity","CF_DEPR_AMORT","FQ3 2001","FQ3 2001","Currency=USD","Period=FQ","BEST_FPERIOD_OVERRIDE=FQ","FILING_STATUS=OR","SCALING_FORMAT=MLN","Sort=A","Dates=H","DateFormat=P","Fill=—","Direction=H","UseDPDF=Y")</f>
        <v>1957</v>
      </c>
      <c r="P8" s="13">
        <f>_xll.BDH("XOM US Equity","CF_DEPR_AMORT","FQ4 2001","FQ4 2001","Currency=USD","Period=FQ","BEST_FPERIOD_OVERRIDE=FQ","FILING_STATUS=OR","SCALING_FORMAT=MLN","Sort=A","Dates=H","DateFormat=P","Fill=—","Direction=H","UseDPDF=Y")</f>
        <v>2140</v>
      </c>
      <c r="Q8" s="13">
        <f>_xll.BDH("XOM US Equity","CF_DEPR_AMORT","FQ1 2002","FQ1 2002","Currency=USD","Period=FQ","BEST_FPERIOD_OVERRIDE=FQ","FILING_STATUS=OR","SCALING_FORMAT=MLN","Sort=A","Dates=H","DateFormat=P","Fill=—","Direction=H","UseDPDF=Y")</f>
        <v>2020</v>
      </c>
      <c r="R8" s="13">
        <f>_xll.BDH("XOM US Equity","CF_DEPR_AMORT","FQ2 2002","FQ2 2002","Currency=USD","Period=FQ","BEST_FPERIOD_OVERRIDE=FQ","FILING_STATUS=OR","SCALING_FORMAT=MLN","Sort=A","Dates=H","DateFormat=P","Fill=—","Direction=H","UseDPDF=Y")</f>
        <v>2020</v>
      </c>
      <c r="S8" s="13">
        <f>_xll.BDH("XOM US Equity","CF_DEPR_AMORT","FQ3 2002","FQ3 2002","Currency=USD","Period=FQ","BEST_FPERIOD_OVERRIDE=FQ","FILING_STATUS=OR","SCALING_FORMAT=MLN","Sort=A","Dates=H","DateFormat=P","Fill=—","Direction=H","UseDPDF=Y")</f>
        <v>2195</v>
      </c>
      <c r="T8" s="13">
        <f>_xll.BDH("XOM US Equity","CF_DEPR_AMORT","FQ4 2002","FQ4 2002","Currency=USD","Period=FQ","BEST_FPERIOD_OVERRIDE=FQ","FILING_STATUS=OR","SCALING_FORMAT=MLN","Sort=A","Dates=H","DateFormat=P","Fill=—","Direction=H","UseDPDF=Y")</f>
        <v>2075</v>
      </c>
      <c r="U8" s="13">
        <f>_xll.BDH("XOM US Equity","CF_DEPR_AMORT","FQ1 2003","FQ1 2003","Currency=USD","Period=FQ","BEST_FPERIOD_OVERRIDE=FQ","FILING_STATUS=OR","SCALING_FORMAT=MLN","Sort=A","Dates=H","DateFormat=P","Fill=—","Direction=H","UseDPDF=Y")</f>
        <v>2182</v>
      </c>
      <c r="V8" s="13">
        <f>_xll.BDH("XOM US Equity","CF_DEPR_AMORT","FQ2 2003","FQ2 2003","Currency=USD","Period=FQ","BEST_FPERIOD_OVERRIDE=FQ","FILING_STATUS=OR","SCALING_FORMAT=MLN","Sort=A","Dates=H","DateFormat=P","Fill=—","Direction=H","UseDPDF=Y")</f>
        <v>2169</v>
      </c>
      <c r="W8" s="13">
        <f>_xll.BDH("XOM US Equity","CF_DEPR_AMORT","FQ3 2003","FQ3 2003","Currency=USD","Period=FQ","BEST_FPERIOD_OVERRIDE=FQ","FILING_STATUS=OR","SCALING_FORMAT=MLN","Sort=A","Dates=H","DateFormat=P","Fill=—","Direction=H","UseDPDF=Y")</f>
        <v>2203</v>
      </c>
      <c r="X8" s="13">
        <f>_xll.BDH("XOM US Equity","CF_DEPR_AMORT","FQ4 2003","FQ4 2003","Currency=USD","Period=FQ","BEST_FPERIOD_OVERRIDE=FQ","FILING_STATUS=OR","SCALING_FORMAT=MLN","Sort=A","Dates=H","DateFormat=P","Fill=—","Direction=H","UseDPDF=Y")</f>
        <v>2493</v>
      </c>
      <c r="Y8" s="13">
        <f>_xll.BDH("XOM US Equity","CF_DEPR_AMORT","FQ1 2004","FQ1 2004","Currency=USD","Period=FQ","BEST_FPERIOD_OVERRIDE=FQ","FILING_STATUS=OR","SCALING_FORMAT=MLN","Sort=A","Dates=H","DateFormat=P","Fill=—","Direction=H","UseDPDF=Y")</f>
        <v>2373</v>
      </c>
      <c r="Z8" s="13">
        <f>_xll.BDH("XOM US Equity","CF_DEPR_AMORT","FQ2 2004","FQ2 2004","Currency=USD","Period=FQ","BEST_FPERIOD_OVERRIDE=FQ","FILING_STATUS=OR","SCALING_FORMAT=MLN","Sort=A","Dates=H","DateFormat=P","Fill=—","Direction=H","UseDPDF=Y")</f>
        <v>2350</v>
      </c>
      <c r="AA8" s="13">
        <f>_xll.BDH("XOM US Equity","CF_DEPR_AMORT","FQ3 2004","FQ3 2004","Currency=USD","Period=FQ","BEST_FPERIOD_OVERRIDE=FQ","FILING_STATUS=OR","SCALING_FORMAT=MLN","Sort=A","Dates=H","DateFormat=P","Fill=—","Direction=H","UseDPDF=Y")</f>
        <v>2431</v>
      </c>
      <c r="AB8" s="13">
        <f>_xll.BDH("XOM US Equity","CF_DEPR_AMORT","FQ4 2004","FQ4 2004","Currency=USD","Period=FQ","BEST_FPERIOD_OVERRIDE=FQ","FILING_STATUS=OR","SCALING_FORMAT=MLN","Sort=A","Dates=H","DateFormat=P","Fill=—","Direction=H","UseDPDF=Y")</f>
        <v>2613</v>
      </c>
      <c r="AC8" s="13">
        <f>_xll.BDH("XOM US Equity","CF_DEPR_AMORT","FQ1 2005","FQ1 2005","Currency=USD","Period=FQ","BEST_FPERIOD_OVERRIDE=FQ","FILING_STATUS=OR","SCALING_FORMAT=MLN","Sort=A","Dates=H","DateFormat=P","Fill=—","Direction=H","UseDPDF=Y")</f>
        <v>2553</v>
      </c>
      <c r="AD8" s="13">
        <f>_xll.BDH("XOM US Equity","CF_DEPR_AMORT","FQ2 2005","FQ2 2005","Currency=USD","Period=FQ","BEST_FPERIOD_OVERRIDE=FQ","FILING_STATUS=OR","SCALING_FORMAT=MLN","Sort=A","Dates=H","DateFormat=P","Fill=—","Direction=H","UseDPDF=Y")</f>
        <v>2516</v>
      </c>
      <c r="AE8" s="13">
        <f>_xll.BDH("XOM US Equity","CF_DEPR_AMORT","FQ3 2005","FQ3 2005","Currency=USD","Period=FQ","BEST_FPERIOD_OVERRIDE=FQ","FILING_STATUS=OR","SCALING_FORMAT=MLN","Sort=A","Dates=H","DateFormat=P","Fill=—","Direction=H","UseDPDF=Y")</f>
        <v>2513</v>
      </c>
      <c r="AF8" s="13">
        <f>_xll.BDH("XOM US Equity","CF_DEPR_AMORT","FQ4 2005","FQ4 2005","Currency=USD","Period=FQ","BEST_FPERIOD_OVERRIDE=FQ","FILING_STATUS=OR","SCALING_FORMAT=MLN","Sort=A","Dates=H","DateFormat=P","Fill=—","Direction=H","UseDPDF=Y")</f>
        <v>2671</v>
      </c>
      <c r="AG8" s="13">
        <f>_xll.BDH("XOM US Equity","CF_DEPR_AMORT","FQ1 2006","FQ1 2006","Currency=USD","Period=FQ","BEST_FPERIOD_OVERRIDE=FQ","FILING_STATUS=OR","SCALING_FORMAT=MLN","Sort=A","Dates=H","DateFormat=P","Fill=—","Direction=H","UseDPDF=Y")</f>
        <v>2644</v>
      </c>
      <c r="AH8" s="13">
        <f>_xll.BDH("XOM US Equity","CF_DEPR_AMORT","FQ2 2006","FQ2 2006","Currency=USD","Period=FQ","BEST_FPERIOD_OVERRIDE=FQ","FILING_STATUS=OR","SCALING_FORMAT=MLN","Sort=A","Dates=H","DateFormat=P","Fill=—","Direction=H","UseDPDF=Y")</f>
        <v>2760</v>
      </c>
      <c r="AI8" s="13">
        <f>_xll.BDH("XOM US Equity","CF_DEPR_AMORT","FQ3 2006","FQ3 2006","Currency=USD","Period=FQ","BEST_FPERIOD_OVERRIDE=FQ","FILING_STATUS=OR","SCALING_FORMAT=MLN","Sort=A","Dates=H","DateFormat=P","Fill=—","Direction=H","UseDPDF=Y")</f>
        <v>2730</v>
      </c>
      <c r="AJ8" s="13">
        <f>_xll.BDH("XOM US Equity","CF_DEPR_AMORT","FQ4 2006","FQ4 2006","Currency=USD","Period=FQ","BEST_FPERIOD_OVERRIDE=FQ","FILING_STATUS=OR","SCALING_FORMAT=MLN","Sort=A","Dates=H","DateFormat=P","Fill=—","Direction=H","UseDPDF=Y")</f>
        <v>3282</v>
      </c>
      <c r="AK8" s="13">
        <f>_xll.BDH("XOM US Equity","CF_DEPR_AMORT","FQ1 2007","FQ1 2007","Currency=USD","Period=FQ","BEST_FPERIOD_OVERRIDE=FQ","FILING_STATUS=OR","SCALING_FORMAT=MLN","Sort=A","Dates=H","DateFormat=P","Fill=—","Direction=H","UseDPDF=Y")</f>
        <v>2942</v>
      </c>
      <c r="AL8" s="13">
        <f>_xll.BDH("XOM US Equity","CF_DEPR_AMORT","FQ2 2007","FQ2 2007","Currency=USD","Period=FQ","BEST_FPERIOD_OVERRIDE=FQ","FILING_STATUS=OR","SCALING_FORMAT=MLN","Sort=A","Dates=H","DateFormat=P","Fill=—","Direction=H","UseDPDF=Y")</f>
        <v>2994</v>
      </c>
      <c r="AM8" s="13">
        <f>_xll.BDH("XOM US Equity","CF_DEPR_AMORT","FQ3 2007","FQ3 2007","Currency=USD","Period=FQ","BEST_FPERIOD_OVERRIDE=FQ","FILING_STATUS=OR","SCALING_FORMAT=MLN","Sort=A","Dates=H","DateFormat=P","Fill=—","Direction=H","UseDPDF=Y")</f>
        <v>3159</v>
      </c>
      <c r="AN8" s="13">
        <f>_xll.BDH("XOM US Equity","CF_DEPR_AMORT","FQ4 2007","FQ4 2007","Currency=USD","Period=FQ","BEST_FPERIOD_OVERRIDE=FQ","FILING_STATUS=OR","SCALING_FORMAT=MLN","Sort=A","Dates=H","DateFormat=P","Fill=—","Direction=H","UseDPDF=Y")</f>
        <v>3155</v>
      </c>
      <c r="AO8" s="13">
        <f>_xll.BDH("XOM US Equity","CF_DEPR_AMORT","FQ1 2008","FQ1 2008","Currency=USD","Period=FQ","BEST_FPERIOD_OVERRIDE=FQ","FILING_STATUS=OR","SCALING_FORMAT=MLN","Sort=A","Dates=H","DateFormat=P","Fill=—","Direction=H","UseDPDF=Y")</f>
        <v>3104</v>
      </c>
      <c r="AP8" s="13">
        <f>_xll.BDH("XOM US Equity","CF_DEPR_AMORT","FQ2 2008","FQ2 2008","Currency=USD","Period=FQ","BEST_FPERIOD_OVERRIDE=FQ","FILING_STATUS=OR","SCALING_FORMAT=MLN","Sort=A","Dates=H","DateFormat=P","Fill=—","Direction=H","UseDPDF=Y")</f>
        <v>3090</v>
      </c>
    </row>
    <row r="9" spans="1:42" x14ac:dyDescent="0.25">
      <c r="A9" s="10" t="s">
        <v>290</v>
      </c>
      <c r="B9" s="10" t="s">
        <v>291</v>
      </c>
      <c r="C9" s="13">
        <f>_xll.BDH("XOM US Equity","NON_CASH_ITEMS_DETAILED","FQ3 1998","FQ3 1998","Currency=USD","Period=FQ","BEST_FPERIOD_OVERRIDE=FQ","FILING_STATUS=OR","SCALING_FORMAT=MLN","Sort=A","Dates=H","DateFormat=P","Fill=—","Direction=H","UseDPDF=Y")</f>
        <v>249</v>
      </c>
      <c r="D9" s="13">
        <f>_xll.BDH("XOM US Equity","NON_CASH_ITEMS_DETAILED","FQ4 1998","FQ4 1998","Currency=USD","Period=FQ","BEST_FPERIOD_OVERRIDE=FQ","FILING_STATUS=OR","SCALING_FORMAT=MLN","Sort=A","Dates=H","DateFormat=P","Fill=—","Direction=H","UseDPDF=Y")</f>
        <v>432</v>
      </c>
      <c r="E9" s="13">
        <f>_xll.BDH("XOM US Equity","NON_CASH_ITEMS_DETAILED","FQ1 1999","FQ1 1999","Currency=USD","Period=FQ","BEST_FPERIOD_OVERRIDE=FQ","FILING_STATUS=OR","SCALING_FORMAT=MLN","Sort=A","Dates=H","DateFormat=P","Fill=—","Direction=H","UseDPDF=Y")</f>
        <v>-542</v>
      </c>
      <c r="F9" s="13">
        <f>_xll.BDH("XOM US Equity","NON_CASH_ITEMS_DETAILED","FQ2 1999","FQ2 1999","Currency=USD","Period=FQ","BEST_FPERIOD_OVERRIDE=FQ","FILING_STATUS=OR","SCALING_FORMAT=MLN","Sort=A","Dates=H","DateFormat=P","Fill=—","Direction=H","UseDPDF=Y")</f>
        <v>-202</v>
      </c>
      <c r="G9" s="13">
        <f>_xll.BDH("XOM US Equity","NON_CASH_ITEMS_DETAILED","FQ3 1999","FQ3 1999","Currency=USD","Period=FQ","BEST_FPERIOD_OVERRIDE=FQ","FILING_STATUS=OR","SCALING_FORMAT=MLN","Sort=A","Dates=H","DateFormat=P","Fill=—","Direction=H","UseDPDF=Y")</f>
        <v>7</v>
      </c>
      <c r="H9" s="13">
        <f>_xll.BDH("XOM US Equity","NON_CASH_ITEMS_DETAILED","FQ4 1999","FQ4 1999","Currency=USD","Period=FQ","BEST_FPERIOD_OVERRIDE=FQ","FILING_STATUS=OR","SCALING_FORMAT=MLN","Sort=A","Dates=H","DateFormat=P","Fill=—","Direction=H","UseDPDF=Y")</f>
        <v>-259</v>
      </c>
      <c r="I9" s="13">
        <f>_xll.BDH("XOM US Equity","NON_CASH_ITEMS_DETAILED","FQ1 2000","FQ1 2000","Currency=USD","Period=FQ","BEST_FPERIOD_OVERRIDE=FQ","FILING_STATUS=OR","SCALING_FORMAT=MLN","Sort=A","Dates=H","DateFormat=P","Fill=—","Direction=H","UseDPDF=Y")</f>
        <v>-1948</v>
      </c>
      <c r="J9" s="13">
        <f>_xll.BDH("XOM US Equity","NON_CASH_ITEMS_DETAILED","FQ2 2000","FQ2 2000","Currency=USD","Period=FQ","BEST_FPERIOD_OVERRIDE=FQ","FILING_STATUS=OR","SCALING_FORMAT=MLN","Sort=A","Dates=H","DateFormat=P","Fill=—","Direction=H","UseDPDF=Y")</f>
        <v>-899</v>
      </c>
      <c r="K9" s="13">
        <f>_xll.BDH("XOM US Equity","NON_CASH_ITEMS_DETAILED","FQ3 2000","FQ3 2000","Currency=USD","Period=FQ","BEST_FPERIOD_OVERRIDE=FQ","FILING_STATUS=OR","SCALING_FORMAT=MLN","Sort=A","Dates=H","DateFormat=P","Fill=—","Direction=H","UseDPDF=Y")</f>
        <v>-491</v>
      </c>
      <c r="L9" s="13">
        <f>_xll.BDH("XOM US Equity","NON_CASH_ITEMS_DETAILED","FQ4 2000","FQ4 2000","Currency=USD","Period=FQ","BEST_FPERIOD_OVERRIDE=FQ","FILING_STATUS=OR","SCALING_FORMAT=MLN","Sort=A","Dates=H","DateFormat=P","Fill=—","Direction=H","UseDPDF=Y")</f>
        <v>673</v>
      </c>
      <c r="M9" s="13">
        <f>_xll.BDH("XOM US Equity","NON_CASH_ITEMS_DETAILED","FQ1 2001","FQ1 2001","Currency=USD","Period=FQ","BEST_FPERIOD_OVERRIDE=FQ","FILING_STATUS=OR","SCALING_FORMAT=MLN","Sort=A","Dates=H","DateFormat=P","Fill=—","Direction=H","UseDPDF=Y")</f>
        <v>75</v>
      </c>
      <c r="N9" s="13">
        <f>_xll.BDH("XOM US Equity","NON_CASH_ITEMS_DETAILED","FQ2 2001","FQ2 2001","Currency=USD","Period=FQ","BEST_FPERIOD_OVERRIDE=FQ","FILING_STATUS=OR","SCALING_FORMAT=MLN","Sort=A","Dates=H","DateFormat=P","Fill=—","Direction=H","UseDPDF=Y")</f>
        <v>-394</v>
      </c>
      <c r="O9" s="13">
        <f>_xll.BDH("XOM US Equity","NON_CASH_ITEMS_DETAILED","FQ3 2001","FQ3 2001","Currency=USD","Period=FQ","BEST_FPERIOD_OVERRIDE=FQ","FILING_STATUS=OR","SCALING_FORMAT=MLN","Sort=A","Dates=H","DateFormat=P","Fill=—","Direction=H","UseDPDF=Y")</f>
        <v>542</v>
      </c>
      <c r="P9" s="13">
        <f>_xll.BDH("XOM US Equity","NON_CASH_ITEMS_DETAILED","FQ4 2001","FQ4 2001","Currency=USD","Period=FQ","BEST_FPERIOD_OVERRIDE=FQ","FILING_STATUS=OR","SCALING_FORMAT=MLN","Sort=A","Dates=H","DateFormat=P","Fill=—","Direction=H","UseDPDF=Y")</f>
        <v>1378</v>
      </c>
      <c r="Q9" s="13">
        <f>_xll.BDH("XOM US Equity","NON_CASH_ITEMS_DETAILED","FQ1 2002","FQ1 2002","Currency=USD","Period=FQ","BEST_FPERIOD_OVERRIDE=FQ","FILING_STATUS=OR","SCALING_FORMAT=MLN","Sort=A","Dates=H","DateFormat=P","Fill=—","Direction=H","UseDPDF=Y")</f>
        <v>-358</v>
      </c>
      <c r="R9" s="13">
        <f>_xll.BDH("XOM US Equity","NON_CASH_ITEMS_DETAILED","FQ2 2002","FQ2 2002","Currency=USD","Period=FQ","BEST_FPERIOD_OVERRIDE=FQ","FILING_STATUS=OR","SCALING_FORMAT=MLN","Sort=A","Dates=H","DateFormat=P","Fill=—","Direction=H","UseDPDF=Y")</f>
        <v>240</v>
      </c>
      <c r="S9" s="13">
        <f>_xll.BDH("XOM US Equity","NON_CASH_ITEMS_DETAILED","FQ3 2002","FQ3 2002","Currency=USD","Period=FQ","BEST_FPERIOD_OVERRIDE=FQ","FILING_STATUS=OR","SCALING_FORMAT=MLN","Sort=A","Dates=H","DateFormat=P","Fill=—","Direction=H","UseDPDF=Y")</f>
        <v>192</v>
      </c>
      <c r="T9" s="13">
        <f>_xll.BDH("XOM US Equity","NON_CASH_ITEMS_DETAILED","FQ4 2002","FQ4 2002","Currency=USD","Period=FQ","BEST_FPERIOD_OVERRIDE=FQ","FILING_STATUS=OR","SCALING_FORMAT=MLN","Sort=A","Dates=H","DateFormat=P","Fill=—","Direction=H","UseDPDF=Y")</f>
        <v>-328</v>
      </c>
      <c r="U9" s="13">
        <f>_xll.BDH("XOM US Equity","NON_CASH_ITEMS_DETAILED","FQ1 2003","FQ1 2003","Currency=USD","Period=FQ","BEST_FPERIOD_OVERRIDE=FQ","FILING_STATUS=OR","SCALING_FORMAT=MLN","Sort=A","Dates=H","DateFormat=P","Fill=—","Direction=H","UseDPDF=Y")</f>
        <v>-2504</v>
      </c>
      <c r="V9" s="13">
        <f>_xll.BDH("XOM US Equity","NON_CASH_ITEMS_DETAILED","FQ2 2003","FQ2 2003","Currency=USD","Period=FQ","BEST_FPERIOD_OVERRIDE=FQ","FILING_STATUS=OR","SCALING_FORMAT=MLN","Sort=A","Dates=H","DateFormat=P","Fill=—","Direction=H","UseDPDF=Y")</f>
        <v>468</v>
      </c>
      <c r="W9" s="13">
        <f>_xll.BDH("XOM US Equity","NON_CASH_ITEMS_DETAILED","FQ3 2003","FQ3 2003","Currency=USD","Period=FQ","BEST_FPERIOD_OVERRIDE=FQ","FILING_STATUS=OR","SCALING_FORMAT=MLN","Sort=A","Dates=H","DateFormat=P","Fill=—","Direction=H","UseDPDF=Y")</f>
        <v>-2186</v>
      </c>
      <c r="X9" s="13">
        <f>_xll.BDH("XOM US Equity","NON_CASH_ITEMS_DETAILED","FQ4 2003","FQ4 2003","Currency=USD","Period=FQ","BEST_FPERIOD_OVERRIDE=FQ","FILING_STATUS=OR","SCALING_FORMAT=MLN","Sort=A","Dates=H","DateFormat=P","Fill=—","Direction=H","UseDPDF=Y")</f>
        <v>2377</v>
      </c>
      <c r="Y9" s="13">
        <f>_xll.BDH("XOM US Equity","NON_CASH_ITEMS_DETAILED","FQ1 2004","FQ1 2004","Currency=USD","Period=FQ","BEST_FPERIOD_OVERRIDE=FQ","FILING_STATUS=OR","SCALING_FORMAT=MLN","Sort=A","Dates=H","DateFormat=P","Fill=—","Direction=H","UseDPDF=Y")</f>
        <v>-48</v>
      </c>
      <c r="Z9" s="13">
        <f>_xll.BDH("XOM US Equity","NON_CASH_ITEMS_DETAILED","FQ2 2004","FQ2 2004","Currency=USD","Period=FQ","BEST_FPERIOD_OVERRIDE=FQ","FILING_STATUS=OR","SCALING_FORMAT=MLN","Sort=A","Dates=H","DateFormat=P","Fill=—","Direction=H","UseDPDF=Y")</f>
        <v>-138</v>
      </c>
      <c r="AA9" s="13">
        <f>_xll.BDH("XOM US Equity","NON_CASH_ITEMS_DETAILED","FQ3 2004","FQ3 2004","Currency=USD","Period=FQ","BEST_FPERIOD_OVERRIDE=FQ","FILING_STATUS=OR","SCALING_FORMAT=MLN","Sort=A","Dates=H","DateFormat=P","Fill=—","Direction=H","UseDPDF=Y")</f>
        <v>210</v>
      </c>
      <c r="AB9" s="13">
        <f>_xll.BDH("XOM US Equity","NON_CASH_ITEMS_DETAILED","FQ4 2004","FQ4 2004","Currency=USD","Period=FQ","BEST_FPERIOD_OVERRIDE=FQ","FILING_STATUS=OR","SCALING_FORMAT=MLN","Sort=A","Dates=H","DateFormat=P","Fill=—","Direction=H","UseDPDF=Y")</f>
        <v>-219</v>
      </c>
      <c r="AC9" s="13">
        <f>_xll.BDH("XOM US Equity","NON_CASH_ITEMS_DETAILED","FQ1 2005","FQ1 2005","Currency=USD","Period=FQ","BEST_FPERIOD_OVERRIDE=FQ","FILING_STATUS=OR","SCALING_FORMAT=MLN","Sort=A","Dates=H","DateFormat=P","Fill=—","Direction=H","UseDPDF=Y")</f>
        <v>-994</v>
      </c>
      <c r="AD9" s="13">
        <f>_xll.BDH("XOM US Equity","NON_CASH_ITEMS_DETAILED","FQ2 2005","FQ2 2005","Currency=USD","Period=FQ","BEST_FPERIOD_OVERRIDE=FQ","FILING_STATUS=OR","SCALING_FORMAT=MLN","Sort=A","Dates=H","DateFormat=P","Fill=—","Direction=H","UseDPDF=Y")</f>
        <v>-167</v>
      </c>
      <c r="AE9" s="13">
        <f>_xll.BDH("XOM US Equity","NON_CASH_ITEMS_DETAILED","FQ3 2005","FQ3 2005","Currency=USD","Period=FQ","BEST_FPERIOD_OVERRIDE=FQ","FILING_STATUS=OR","SCALING_FORMAT=MLN","Sort=A","Dates=H","DateFormat=P","Fill=—","Direction=H","UseDPDF=Y")</f>
        <v>-319</v>
      </c>
      <c r="AF9" s="13">
        <f>_xll.BDH("XOM US Equity","NON_CASH_ITEMS_DETAILED","FQ4 2005","FQ4 2005","Currency=USD","Period=FQ","BEST_FPERIOD_OVERRIDE=FQ","FILING_STATUS=OR","SCALING_FORMAT=MLN","Sort=A","Dates=H","DateFormat=P","Fill=—","Direction=H","UseDPDF=Y")</f>
        <v>-430</v>
      </c>
      <c r="AG9" s="13">
        <f>_xll.BDH("XOM US Equity","NON_CASH_ITEMS_DETAILED","FQ1 2006","FQ1 2006","Currency=USD","Period=FQ","BEST_FPERIOD_OVERRIDE=FQ","FILING_STATUS=OR","SCALING_FORMAT=MLN","Sort=A","Dates=H","DateFormat=P","Fill=—","Direction=H","UseDPDF=Y")</f>
        <v>330</v>
      </c>
      <c r="AH9" s="13">
        <f>_xll.BDH("XOM US Equity","NON_CASH_ITEMS_DETAILED","FQ2 2006","FQ2 2006","Currency=USD","Period=FQ","BEST_FPERIOD_OVERRIDE=FQ","FILING_STATUS=OR","SCALING_FORMAT=MLN","Sort=A","Dates=H","DateFormat=P","Fill=—","Direction=H","UseDPDF=Y")</f>
        <v>431</v>
      </c>
      <c r="AI9" s="13">
        <f>_xll.BDH("XOM US Equity","NON_CASH_ITEMS_DETAILED","FQ3 2006","FQ3 2006","Currency=USD","Period=FQ","BEST_FPERIOD_OVERRIDE=FQ","FILING_STATUS=OR","SCALING_FORMAT=MLN","Sort=A","Dates=H","DateFormat=P","Fill=—","Direction=H","UseDPDF=Y")</f>
        <v>-1557</v>
      </c>
      <c r="AJ9" s="13">
        <f>_xll.BDH("XOM US Equity","NON_CASH_ITEMS_DETAILED","FQ4 2006","FQ4 2006","Currency=USD","Period=FQ","BEST_FPERIOD_OVERRIDE=FQ","FILING_STATUS=OR","SCALING_FORMAT=MLN","Sort=A","Dates=H","DateFormat=P","Fill=—","Direction=H","UseDPDF=Y")</f>
        <v>-371</v>
      </c>
      <c r="AK9" s="13">
        <f>_xll.BDH("XOM US Equity","NON_CASH_ITEMS_DETAILED","FQ1 2007","FQ1 2007","Currency=USD","Period=FQ","BEST_FPERIOD_OVERRIDE=FQ","FILING_STATUS=OR","SCALING_FORMAT=MLN","Sort=A","Dates=H","DateFormat=P","Fill=—","Direction=H","UseDPDF=Y")</f>
        <v>221</v>
      </c>
      <c r="AL9" s="13">
        <f>_xll.BDH("XOM US Equity","NON_CASH_ITEMS_DETAILED","FQ2 2007","FQ2 2007","Currency=USD","Period=FQ","BEST_FPERIOD_OVERRIDE=FQ","FILING_STATUS=OR","SCALING_FORMAT=MLN","Sort=A","Dates=H","DateFormat=P","Fill=—","Direction=H","UseDPDF=Y")</f>
        <v>273</v>
      </c>
      <c r="AM9" s="13">
        <f>_xll.BDH("XOM US Equity","NON_CASH_ITEMS_DETAILED","FQ3 2007","FQ3 2007","Currency=USD","Period=FQ","BEST_FPERIOD_OVERRIDE=FQ","FILING_STATUS=OR","SCALING_FORMAT=MLN","Sort=A","Dates=H","DateFormat=P","Fill=—","Direction=H","UseDPDF=Y")</f>
        <v>845</v>
      </c>
      <c r="AN9" s="13">
        <f>_xll.BDH("XOM US Equity","NON_CASH_ITEMS_DETAILED","FQ4 2007","FQ4 2007","Currency=USD","Period=FQ","BEST_FPERIOD_OVERRIDE=FQ","FILING_STATUS=OR","SCALING_FORMAT=MLN","Sort=A","Dates=H","DateFormat=P","Fill=—","Direction=H","UseDPDF=Y")</f>
        <v>-3336</v>
      </c>
      <c r="AO9" s="13">
        <f>_xll.BDH("XOM US Equity","NON_CASH_ITEMS_DETAILED","FQ1 2008","FQ1 2008","Currency=USD","Period=FQ","BEST_FPERIOD_OVERRIDE=FQ","FILING_STATUS=OR","SCALING_FORMAT=MLN","Sort=A","Dates=H","DateFormat=P","Fill=—","Direction=H","UseDPDF=Y")</f>
        <v>-377</v>
      </c>
      <c r="AP9" s="13">
        <f>_xll.BDH("XOM US Equity","NON_CASH_ITEMS_DETAILED","FQ2 2008","FQ2 2008","Currency=USD","Period=FQ","BEST_FPERIOD_OVERRIDE=FQ","FILING_STATUS=OR","SCALING_FORMAT=MLN","Sort=A","Dates=H","DateFormat=P","Fill=—","Direction=H","UseDPDF=Y")</f>
        <v>-835</v>
      </c>
    </row>
    <row r="10" spans="1:42" x14ac:dyDescent="0.25">
      <c r="A10" s="10" t="s">
        <v>292</v>
      </c>
      <c r="B10" s="10" t="s">
        <v>293</v>
      </c>
      <c r="C10" s="13" t="str">
        <f>_xll.BDH("XOM US Equity","CF_DEF_INC_TAX","FQ3 1998","FQ3 1998","Currency=USD","Period=FQ","BEST_FPERIOD_OVERRIDE=FQ","FILING_STATUS=OR","SCALING_FORMAT=MLN","Sort=A","Dates=H","DateFormat=P","Fill=—","Direction=H","UseDPDF=Y")</f>
        <v>—</v>
      </c>
      <c r="D10" s="13" t="str">
        <f>_xll.BDH("XOM US Equity","CF_DEF_INC_TAX","FQ4 1998","FQ4 1998","Currency=USD","Period=FQ","BEST_FPERIOD_OVERRIDE=FQ","FILING_STATUS=OR","SCALING_FORMAT=MLN","Sort=A","Dates=H","DateFormat=P","Fill=—","Direction=H","UseDPDF=Y")</f>
        <v>—</v>
      </c>
      <c r="E10" s="13" t="str">
        <f>_xll.BDH("XOM US Equity","CF_DEF_INC_TAX","FQ1 1999","FQ1 1999","Currency=USD","Period=FQ","BEST_FPERIOD_OVERRIDE=FQ","FILING_STATUS=OR","SCALING_FORMAT=MLN","Sort=A","Dates=H","DateFormat=P","Fill=—","Direction=H","UseDPDF=Y")</f>
        <v>—</v>
      </c>
      <c r="F10" s="13" t="str">
        <f>_xll.BDH("XOM US Equity","CF_DEF_INC_TAX","FQ2 1999","FQ2 1999","Currency=USD","Period=FQ","BEST_FPERIOD_OVERRIDE=FQ","FILING_STATUS=OR","SCALING_FORMAT=MLN","Sort=A","Dates=H","DateFormat=P","Fill=—","Direction=H","UseDPDF=Y")</f>
        <v>—</v>
      </c>
      <c r="G10" s="13" t="str">
        <f>_xll.BDH("XOM US Equity","CF_DEF_INC_TAX","FQ3 1999","FQ3 1999","Currency=USD","Period=FQ","BEST_FPERIOD_OVERRIDE=FQ","FILING_STATUS=OR","SCALING_FORMAT=MLN","Sort=A","Dates=H","DateFormat=P","Fill=—","Direction=H","UseDPDF=Y")</f>
        <v>—</v>
      </c>
      <c r="H10" s="13" t="str">
        <f>_xll.BDH("XOM US Equity","CF_DEF_INC_TAX","FQ4 1999","FQ4 1999","Currency=USD","Period=FQ","BEST_FPERIOD_OVERRIDE=FQ","FILING_STATUS=OR","SCALING_FORMAT=MLN","Sort=A","Dates=H","DateFormat=P","Fill=—","Direction=H","UseDPDF=Y")</f>
        <v>—</v>
      </c>
      <c r="I10" s="13" t="str">
        <f>_xll.BDH("XOM US Equity","CF_DEF_INC_TAX","FQ1 2000","FQ1 2000","Currency=USD","Period=FQ","BEST_FPERIOD_OVERRIDE=FQ","FILING_STATUS=OR","SCALING_FORMAT=MLN","Sort=A","Dates=H","DateFormat=P","Fill=—","Direction=H","UseDPDF=Y")</f>
        <v>—</v>
      </c>
      <c r="J10" s="13" t="str">
        <f>_xll.BDH("XOM US Equity","CF_DEF_INC_TAX","FQ2 2000","FQ2 2000","Currency=USD","Period=FQ","BEST_FPERIOD_OVERRIDE=FQ","FILING_STATUS=OR","SCALING_FORMAT=MLN","Sort=A","Dates=H","DateFormat=P","Fill=—","Direction=H","UseDPDF=Y")</f>
        <v>—</v>
      </c>
      <c r="K10" s="13" t="str">
        <f>_xll.BDH("XOM US Equity","CF_DEF_INC_TAX","FQ3 2000","FQ3 2000","Currency=USD","Period=FQ","BEST_FPERIOD_OVERRIDE=FQ","FILING_STATUS=OR","SCALING_FORMAT=MLN","Sort=A","Dates=H","DateFormat=P","Fill=—","Direction=H","UseDPDF=Y")</f>
        <v>—</v>
      </c>
      <c r="L10" s="13" t="str">
        <f>_xll.BDH("XOM US Equity","CF_DEF_INC_TAX","FQ4 2000","FQ4 2000","Currency=USD","Period=FQ","BEST_FPERIOD_OVERRIDE=FQ","FILING_STATUS=OR","SCALING_FORMAT=MLN","Sort=A","Dates=H","DateFormat=P","Fill=—","Direction=H","UseDPDF=Y")</f>
        <v>—</v>
      </c>
      <c r="M10" s="13" t="str">
        <f>_xll.BDH("XOM US Equity","CF_DEF_INC_TAX","FQ1 2001","FQ1 2001","Currency=USD","Period=FQ","BEST_FPERIOD_OVERRIDE=FQ","FILING_STATUS=OR","SCALING_FORMAT=MLN","Sort=A","Dates=H","DateFormat=P","Fill=—","Direction=H","UseDPDF=Y")</f>
        <v>—</v>
      </c>
      <c r="N10" s="13" t="str">
        <f>_xll.BDH("XOM US Equity","CF_DEF_INC_TAX","FQ2 2001","FQ2 2001","Currency=USD","Period=FQ","BEST_FPERIOD_OVERRIDE=FQ","FILING_STATUS=OR","SCALING_FORMAT=MLN","Sort=A","Dates=H","DateFormat=P","Fill=—","Direction=H","UseDPDF=Y")</f>
        <v>—</v>
      </c>
      <c r="O10" s="13" t="str">
        <f>_xll.BDH("XOM US Equity","CF_DEF_INC_TAX","FQ3 2001","FQ3 2001","Currency=USD","Period=FQ","BEST_FPERIOD_OVERRIDE=FQ","FILING_STATUS=OR","SCALING_FORMAT=MLN","Sort=A","Dates=H","DateFormat=P","Fill=—","Direction=H","UseDPDF=Y")</f>
        <v>—</v>
      </c>
      <c r="P10" s="13" t="str">
        <f>_xll.BDH("XOM US Equity","CF_DEF_INC_TAX","FQ4 2001","FQ4 2001","Currency=USD","Period=FQ","BEST_FPERIOD_OVERRIDE=FQ","FILING_STATUS=OR","SCALING_FORMAT=MLN","Sort=A","Dates=H","DateFormat=P","Fill=—","Direction=H","UseDPDF=Y")</f>
        <v>—</v>
      </c>
      <c r="Q10" s="13" t="str">
        <f>_xll.BDH("XOM US Equity","CF_DEF_INC_TAX","FQ1 2002","FQ1 2002","Currency=USD","Period=FQ","BEST_FPERIOD_OVERRIDE=FQ","FILING_STATUS=OR","SCALING_FORMAT=MLN","Sort=A","Dates=H","DateFormat=P","Fill=—","Direction=H","UseDPDF=Y")</f>
        <v>—</v>
      </c>
      <c r="R10" s="13" t="str">
        <f>_xll.BDH("XOM US Equity","CF_DEF_INC_TAX","FQ2 2002","FQ2 2002","Currency=USD","Period=FQ","BEST_FPERIOD_OVERRIDE=FQ","FILING_STATUS=OR","SCALING_FORMAT=MLN","Sort=A","Dates=H","DateFormat=P","Fill=—","Direction=H","UseDPDF=Y")</f>
        <v>—</v>
      </c>
      <c r="S10" s="13" t="str">
        <f>_xll.BDH("XOM US Equity","CF_DEF_INC_TAX","FQ3 2002","FQ3 2002","Currency=USD","Period=FQ","BEST_FPERIOD_OVERRIDE=FQ","FILING_STATUS=OR","SCALING_FORMAT=MLN","Sort=A","Dates=H","DateFormat=P","Fill=—","Direction=H","UseDPDF=Y")</f>
        <v>—</v>
      </c>
      <c r="T10" s="13" t="str">
        <f>_xll.BDH("XOM US Equity","CF_DEF_INC_TAX","FQ4 2002","FQ4 2002","Currency=USD","Period=FQ","BEST_FPERIOD_OVERRIDE=FQ","FILING_STATUS=OR","SCALING_FORMAT=MLN","Sort=A","Dates=H","DateFormat=P","Fill=—","Direction=H","UseDPDF=Y")</f>
        <v>—</v>
      </c>
      <c r="U10" s="13" t="str">
        <f>_xll.BDH("XOM US Equity","CF_DEF_INC_TAX","FQ1 2003","FQ1 2003","Currency=USD","Period=FQ","BEST_FPERIOD_OVERRIDE=FQ","FILING_STATUS=OR","SCALING_FORMAT=MLN","Sort=A","Dates=H","DateFormat=P","Fill=—","Direction=H","UseDPDF=Y")</f>
        <v>—</v>
      </c>
      <c r="V10" s="13" t="str">
        <f>_xll.BDH("XOM US Equity","CF_DEF_INC_TAX","FQ2 2003","FQ2 2003","Currency=USD","Period=FQ","BEST_FPERIOD_OVERRIDE=FQ","FILING_STATUS=OR","SCALING_FORMAT=MLN","Sort=A","Dates=H","DateFormat=P","Fill=—","Direction=H","UseDPDF=Y")</f>
        <v>—</v>
      </c>
      <c r="W10" s="13" t="str">
        <f>_xll.BDH("XOM US Equity","CF_DEF_INC_TAX","FQ3 2003","FQ3 2003","Currency=USD","Period=FQ","BEST_FPERIOD_OVERRIDE=FQ","FILING_STATUS=OR","SCALING_FORMAT=MLN","Sort=A","Dates=H","DateFormat=P","Fill=—","Direction=H","UseDPDF=Y")</f>
        <v>—</v>
      </c>
      <c r="X10" s="13" t="str">
        <f>_xll.BDH("XOM US Equity","CF_DEF_INC_TAX","FQ4 2003","FQ4 2003","Currency=USD","Period=FQ","BEST_FPERIOD_OVERRIDE=FQ","FILING_STATUS=OR","SCALING_FORMAT=MLN","Sort=A","Dates=H","DateFormat=P","Fill=—","Direction=H","UseDPDF=Y")</f>
        <v>—</v>
      </c>
      <c r="Y10" s="13" t="str">
        <f>_xll.BDH("XOM US Equity","CF_DEF_INC_TAX","FQ1 2004","FQ1 2004","Currency=USD","Period=FQ","BEST_FPERIOD_OVERRIDE=FQ","FILING_STATUS=OR","SCALING_FORMAT=MLN","Sort=A","Dates=H","DateFormat=P","Fill=—","Direction=H","UseDPDF=Y")</f>
        <v>—</v>
      </c>
      <c r="Z10" s="13" t="str">
        <f>_xll.BDH("XOM US Equity","CF_DEF_INC_TAX","FQ2 2004","FQ2 2004","Currency=USD","Period=FQ","BEST_FPERIOD_OVERRIDE=FQ","FILING_STATUS=OR","SCALING_FORMAT=MLN","Sort=A","Dates=H","DateFormat=P","Fill=—","Direction=H","UseDPDF=Y")</f>
        <v>—</v>
      </c>
      <c r="AA10" s="13" t="str">
        <f>_xll.BDH("XOM US Equity","CF_DEF_INC_TAX","FQ3 2004","FQ3 2004","Currency=USD","Period=FQ","BEST_FPERIOD_OVERRIDE=FQ","FILING_STATUS=OR","SCALING_FORMAT=MLN","Sort=A","Dates=H","DateFormat=P","Fill=—","Direction=H","UseDPDF=Y")</f>
        <v>—</v>
      </c>
      <c r="AB10" s="13" t="str">
        <f>_xll.BDH("XOM US Equity","CF_DEF_INC_TAX","FQ4 2004","FQ4 2004","Currency=USD","Period=FQ","BEST_FPERIOD_OVERRIDE=FQ","FILING_STATUS=OR","SCALING_FORMAT=MLN","Sort=A","Dates=H","DateFormat=P","Fill=—","Direction=H","UseDPDF=Y")</f>
        <v>—</v>
      </c>
      <c r="AC10" s="13" t="str">
        <f>_xll.BDH("XOM US Equity","CF_DEF_INC_TAX","FQ1 2005","FQ1 2005","Currency=USD","Period=FQ","BEST_FPERIOD_OVERRIDE=FQ","FILING_STATUS=OR","SCALING_FORMAT=MLN","Sort=A","Dates=H","DateFormat=P","Fill=—","Direction=H","UseDPDF=Y")</f>
        <v>—</v>
      </c>
      <c r="AD10" s="13" t="str">
        <f>_xll.BDH("XOM US Equity","CF_DEF_INC_TAX","FQ2 2005","FQ2 2005","Currency=USD","Period=FQ","BEST_FPERIOD_OVERRIDE=FQ","FILING_STATUS=OR","SCALING_FORMAT=MLN","Sort=A","Dates=H","DateFormat=P","Fill=—","Direction=H","UseDPDF=Y")</f>
        <v>—</v>
      </c>
      <c r="AE10" s="13" t="str">
        <f>_xll.BDH("XOM US Equity","CF_DEF_INC_TAX","FQ3 2005","FQ3 2005","Currency=USD","Period=FQ","BEST_FPERIOD_OVERRIDE=FQ","FILING_STATUS=OR","SCALING_FORMAT=MLN","Sort=A","Dates=H","DateFormat=P","Fill=—","Direction=H","UseDPDF=Y")</f>
        <v>—</v>
      </c>
      <c r="AF10" s="13">
        <f>_xll.BDH("XOM US Equity","CF_DEF_INC_TAX","FQ4 2005","FQ4 2005","Currency=USD","Period=FQ","BEST_FPERIOD_OVERRIDE=FQ","FILING_STATUS=OR","SCALING_FORMAT=MLN","Sort=A","Dates=H","DateFormat=P","Fill=—","Direction=H","UseDPDF=Y")</f>
        <v>-429</v>
      </c>
      <c r="AG10" s="13" t="str">
        <f>_xll.BDH("XOM US Equity","CF_DEF_INC_TAX","FQ1 2006","FQ1 2006","Currency=USD","Period=FQ","BEST_FPERIOD_OVERRIDE=FQ","FILING_STATUS=OR","SCALING_FORMAT=MLN","Sort=A","Dates=H","DateFormat=P","Fill=—","Direction=H","UseDPDF=Y")</f>
        <v>—</v>
      </c>
      <c r="AH10" s="13" t="str">
        <f>_xll.BDH("XOM US Equity","CF_DEF_INC_TAX","FQ2 2006","FQ2 2006","Currency=USD","Period=FQ","BEST_FPERIOD_OVERRIDE=FQ","FILING_STATUS=OR","SCALING_FORMAT=MLN","Sort=A","Dates=H","DateFormat=P","Fill=—","Direction=H","UseDPDF=Y")</f>
        <v>—</v>
      </c>
      <c r="AI10" s="13" t="str">
        <f>_xll.BDH("XOM US Equity","CF_DEF_INC_TAX","FQ3 2006","FQ3 2006","Currency=USD","Period=FQ","BEST_FPERIOD_OVERRIDE=FQ","FILING_STATUS=OR","SCALING_FORMAT=MLN","Sort=A","Dates=H","DateFormat=P","Fill=—","Direction=H","UseDPDF=Y")</f>
        <v>—</v>
      </c>
      <c r="AJ10" s="13">
        <f>_xll.BDH("XOM US Equity","CF_DEF_INC_TAX","FQ4 2006","FQ4 2006","Currency=USD","Period=FQ","BEST_FPERIOD_OVERRIDE=FQ","FILING_STATUS=OR","SCALING_FORMAT=MLN","Sort=A","Dates=H","DateFormat=P","Fill=—","Direction=H","UseDPDF=Y")</f>
        <v>1717</v>
      </c>
      <c r="AK10" s="13" t="str">
        <f>_xll.BDH("XOM US Equity","CF_DEF_INC_TAX","FQ1 2007","FQ1 2007","Currency=USD","Period=FQ","BEST_FPERIOD_OVERRIDE=FQ","FILING_STATUS=OR","SCALING_FORMAT=MLN","Sort=A","Dates=H","DateFormat=P","Fill=—","Direction=H","UseDPDF=Y")</f>
        <v>—</v>
      </c>
      <c r="AL10" s="13" t="str">
        <f>_xll.BDH("XOM US Equity","CF_DEF_INC_TAX","FQ2 2007","FQ2 2007","Currency=USD","Period=FQ","BEST_FPERIOD_OVERRIDE=FQ","FILING_STATUS=OR","SCALING_FORMAT=MLN","Sort=A","Dates=H","DateFormat=P","Fill=—","Direction=H","UseDPDF=Y")</f>
        <v>—</v>
      </c>
      <c r="AM10" s="13" t="str">
        <f>_xll.BDH("XOM US Equity","CF_DEF_INC_TAX","FQ3 2007","FQ3 2007","Currency=USD","Period=FQ","BEST_FPERIOD_OVERRIDE=FQ","FILING_STATUS=OR","SCALING_FORMAT=MLN","Sort=A","Dates=H","DateFormat=P","Fill=—","Direction=H","UseDPDF=Y")</f>
        <v>—</v>
      </c>
      <c r="AN10" s="13">
        <f>_xll.BDH("XOM US Equity","CF_DEF_INC_TAX","FQ4 2007","FQ4 2007","Currency=USD","Period=FQ","BEST_FPERIOD_OVERRIDE=FQ","FILING_STATUS=OR","SCALING_FORMAT=MLN","Sort=A","Dates=H","DateFormat=P","Fill=—","Direction=H","UseDPDF=Y")</f>
        <v>124</v>
      </c>
      <c r="AO10" s="13" t="str">
        <f>_xll.BDH("XOM US Equity","CF_DEF_INC_TAX","FQ1 2008","FQ1 2008","Currency=USD","Period=FQ","BEST_FPERIOD_OVERRIDE=FQ","FILING_STATUS=OR","SCALING_FORMAT=MLN","Sort=A","Dates=H","DateFormat=P","Fill=—","Direction=H","UseDPDF=Y")</f>
        <v>—</v>
      </c>
      <c r="AP10" s="13" t="str">
        <f>_xll.BDH("XOM US Equity","CF_DEF_INC_TAX","FQ2 2008","FQ2 2008","Currency=USD","Period=FQ","BEST_FPERIOD_OVERRIDE=FQ","FILING_STATUS=OR","SCALING_FORMAT=MLN","Sort=A","Dates=H","DateFormat=P","Fill=—","Direction=H","UseDPDF=Y")</f>
        <v>—</v>
      </c>
    </row>
    <row r="11" spans="1:42" x14ac:dyDescent="0.25">
      <c r="A11" s="10" t="s">
        <v>294</v>
      </c>
      <c r="B11" s="10" t="s">
        <v>295</v>
      </c>
      <c r="C11" s="13">
        <f>_xll.BDH("XOM US Equity","OTHER_NON_CASH_ADJ_LESS_DETAILED","FQ3 1998","FQ3 1998","Currency=USD","Period=FQ","BEST_FPERIOD_OVERRIDE=FQ","FILING_STATUS=OR","SCALING_FORMAT=MLN","Sort=A","Dates=H","DateFormat=P","Fill=—","Direction=H","UseDPDF=Y")</f>
        <v>249</v>
      </c>
      <c r="D11" s="13">
        <f>_xll.BDH("XOM US Equity","OTHER_NON_CASH_ADJ_LESS_DETAILED","FQ4 1998","FQ4 1998","Currency=USD","Period=FQ","BEST_FPERIOD_OVERRIDE=FQ","FILING_STATUS=OR","SCALING_FORMAT=MLN","Sort=A","Dates=H","DateFormat=P","Fill=—","Direction=H","UseDPDF=Y")</f>
        <v>432</v>
      </c>
      <c r="E11" s="13">
        <f>_xll.BDH("XOM US Equity","OTHER_NON_CASH_ADJ_LESS_DETAILED","FQ1 1999","FQ1 1999","Currency=USD","Period=FQ","BEST_FPERIOD_OVERRIDE=FQ","FILING_STATUS=OR","SCALING_FORMAT=MLN","Sort=A","Dates=H","DateFormat=P","Fill=—","Direction=H","UseDPDF=Y")</f>
        <v>-542</v>
      </c>
      <c r="F11" s="13">
        <f>_xll.BDH("XOM US Equity","OTHER_NON_CASH_ADJ_LESS_DETAILED","FQ2 1999","FQ2 1999","Currency=USD","Period=FQ","BEST_FPERIOD_OVERRIDE=FQ","FILING_STATUS=OR","SCALING_FORMAT=MLN","Sort=A","Dates=H","DateFormat=P","Fill=—","Direction=H","UseDPDF=Y")</f>
        <v>-202</v>
      </c>
      <c r="G11" s="13">
        <f>_xll.BDH("XOM US Equity","OTHER_NON_CASH_ADJ_LESS_DETAILED","FQ3 1999","FQ3 1999","Currency=USD","Period=FQ","BEST_FPERIOD_OVERRIDE=FQ","FILING_STATUS=OR","SCALING_FORMAT=MLN","Sort=A","Dates=H","DateFormat=P","Fill=—","Direction=H","UseDPDF=Y")</f>
        <v>7</v>
      </c>
      <c r="H11" s="13">
        <f>_xll.BDH("XOM US Equity","OTHER_NON_CASH_ADJ_LESS_DETAILED","FQ4 1999","FQ4 1999","Currency=USD","Period=FQ","BEST_FPERIOD_OVERRIDE=FQ","FILING_STATUS=OR","SCALING_FORMAT=MLN","Sort=A","Dates=H","DateFormat=P","Fill=—","Direction=H","UseDPDF=Y")</f>
        <v>-259</v>
      </c>
      <c r="I11" s="13">
        <f>_xll.BDH("XOM US Equity","OTHER_NON_CASH_ADJ_LESS_DETAILED","FQ1 2000","FQ1 2000","Currency=USD","Period=FQ","BEST_FPERIOD_OVERRIDE=FQ","FILING_STATUS=OR","SCALING_FORMAT=MLN","Sort=A","Dates=H","DateFormat=P","Fill=—","Direction=H","UseDPDF=Y")</f>
        <v>-1948</v>
      </c>
      <c r="J11" s="13">
        <f>_xll.BDH("XOM US Equity","OTHER_NON_CASH_ADJ_LESS_DETAILED","FQ2 2000","FQ2 2000","Currency=USD","Period=FQ","BEST_FPERIOD_OVERRIDE=FQ","FILING_STATUS=OR","SCALING_FORMAT=MLN","Sort=A","Dates=H","DateFormat=P","Fill=—","Direction=H","UseDPDF=Y")</f>
        <v>-899</v>
      </c>
      <c r="K11" s="13">
        <f>_xll.BDH("XOM US Equity","OTHER_NON_CASH_ADJ_LESS_DETAILED","FQ3 2000","FQ3 2000","Currency=USD","Period=FQ","BEST_FPERIOD_OVERRIDE=FQ","FILING_STATUS=OR","SCALING_FORMAT=MLN","Sort=A","Dates=H","DateFormat=P","Fill=—","Direction=H","UseDPDF=Y")</f>
        <v>-491</v>
      </c>
      <c r="L11" s="13">
        <f>_xll.BDH("XOM US Equity","OTHER_NON_CASH_ADJ_LESS_DETAILED","FQ4 2000","FQ4 2000","Currency=USD","Period=FQ","BEST_FPERIOD_OVERRIDE=FQ","FILING_STATUS=OR","SCALING_FORMAT=MLN","Sort=A","Dates=H","DateFormat=P","Fill=—","Direction=H","UseDPDF=Y")</f>
        <v>673</v>
      </c>
      <c r="M11" s="13">
        <f>_xll.BDH("XOM US Equity","OTHER_NON_CASH_ADJ_LESS_DETAILED","FQ1 2001","FQ1 2001","Currency=USD","Period=FQ","BEST_FPERIOD_OVERRIDE=FQ","FILING_STATUS=OR","SCALING_FORMAT=MLN","Sort=A","Dates=H","DateFormat=P","Fill=—","Direction=H","UseDPDF=Y")</f>
        <v>75</v>
      </c>
      <c r="N11" s="13">
        <f>_xll.BDH("XOM US Equity","OTHER_NON_CASH_ADJ_LESS_DETAILED","FQ2 2001","FQ2 2001","Currency=USD","Period=FQ","BEST_FPERIOD_OVERRIDE=FQ","FILING_STATUS=OR","SCALING_FORMAT=MLN","Sort=A","Dates=H","DateFormat=P","Fill=—","Direction=H","UseDPDF=Y")</f>
        <v>-394</v>
      </c>
      <c r="O11" s="13">
        <f>_xll.BDH("XOM US Equity","OTHER_NON_CASH_ADJ_LESS_DETAILED","FQ3 2001","FQ3 2001","Currency=USD","Period=FQ","BEST_FPERIOD_OVERRIDE=FQ","FILING_STATUS=OR","SCALING_FORMAT=MLN","Sort=A","Dates=H","DateFormat=P","Fill=—","Direction=H","UseDPDF=Y")</f>
        <v>542</v>
      </c>
      <c r="P11" s="13">
        <f>_xll.BDH("XOM US Equity","OTHER_NON_CASH_ADJ_LESS_DETAILED","FQ4 2001","FQ4 2001","Currency=USD","Period=FQ","BEST_FPERIOD_OVERRIDE=FQ","FILING_STATUS=OR","SCALING_FORMAT=MLN","Sort=A","Dates=H","DateFormat=P","Fill=—","Direction=H","UseDPDF=Y")</f>
        <v>1378</v>
      </c>
      <c r="Q11" s="13">
        <f>_xll.BDH("XOM US Equity","OTHER_NON_CASH_ADJ_LESS_DETAILED","FQ1 2002","FQ1 2002","Currency=USD","Period=FQ","BEST_FPERIOD_OVERRIDE=FQ","FILING_STATUS=OR","SCALING_FORMAT=MLN","Sort=A","Dates=H","DateFormat=P","Fill=—","Direction=H","UseDPDF=Y")</f>
        <v>-358</v>
      </c>
      <c r="R11" s="13">
        <f>_xll.BDH("XOM US Equity","OTHER_NON_CASH_ADJ_LESS_DETAILED","FQ2 2002","FQ2 2002","Currency=USD","Period=FQ","BEST_FPERIOD_OVERRIDE=FQ","FILING_STATUS=OR","SCALING_FORMAT=MLN","Sort=A","Dates=H","DateFormat=P","Fill=—","Direction=H","UseDPDF=Y")</f>
        <v>240</v>
      </c>
      <c r="S11" s="13">
        <f>_xll.BDH("XOM US Equity","OTHER_NON_CASH_ADJ_LESS_DETAILED","FQ3 2002","FQ3 2002","Currency=USD","Period=FQ","BEST_FPERIOD_OVERRIDE=FQ","FILING_STATUS=OR","SCALING_FORMAT=MLN","Sort=A","Dates=H","DateFormat=P","Fill=—","Direction=H","UseDPDF=Y")</f>
        <v>192</v>
      </c>
      <c r="T11" s="13">
        <f>_xll.BDH("XOM US Equity","OTHER_NON_CASH_ADJ_LESS_DETAILED","FQ4 2002","FQ4 2002","Currency=USD","Period=FQ","BEST_FPERIOD_OVERRIDE=FQ","FILING_STATUS=OR","SCALING_FORMAT=MLN","Sort=A","Dates=H","DateFormat=P","Fill=—","Direction=H","UseDPDF=Y")</f>
        <v>-328</v>
      </c>
      <c r="U11" s="13">
        <f>_xll.BDH("XOM US Equity","OTHER_NON_CASH_ADJ_LESS_DETAILED","FQ1 2003","FQ1 2003","Currency=USD","Period=FQ","BEST_FPERIOD_OVERRIDE=FQ","FILING_STATUS=OR","SCALING_FORMAT=MLN","Sort=A","Dates=H","DateFormat=P","Fill=—","Direction=H","UseDPDF=Y")</f>
        <v>-2504</v>
      </c>
      <c r="V11" s="13">
        <f>_xll.BDH("XOM US Equity","OTHER_NON_CASH_ADJ_LESS_DETAILED","FQ2 2003","FQ2 2003","Currency=USD","Period=FQ","BEST_FPERIOD_OVERRIDE=FQ","FILING_STATUS=OR","SCALING_FORMAT=MLN","Sort=A","Dates=H","DateFormat=P","Fill=—","Direction=H","UseDPDF=Y")</f>
        <v>468</v>
      </c>
      <c r="W11" s="13">
        <f>_xll.BDH("XOM US Equity","OTHER_NON_CASH_ADJ_LESS_DETAILED","FQ3 2003","FQ3 2003","Currency=USD","Period=FQ","BEST_FPERIOD_OVERRIDE=FQ","FILING_STATUS=OR","SCALING_FORMAT=MLN","Sort=A","Dates=H","DateFormat=P","Fill=—","Direction=H","UseDPDF=Y")</f>
        <v>-2186</v>
      </c>
      <c r="X11" s="13">
        <f>_xll.BDH("XOM US Equity","OTHER_NON_CASH_ADJ_LESS_DETAILED","FQ4 2003","FQ4 2003","Currency=USD","Period=FQ","BEST_FPERIOD_OVERRIDE=FQ","FILING_STATUS=OR","SCALING_FORMAT=MLN","Sort=A","Dates=H","DateFormat=P","Fill=—","Direction=H","UseDPDF=Y")</f>
        <v>2377</v>
      </c>
      <c r="Y11" s="13">
        <f>_xll.BDH("XOM US Equity","OTHER_NON_CASH_ADJ_LESS_DETAILED","FQ1 2004","FQ1 2004","Currency=USD","Period=FQ","BEST_FPERIOD_OVERRIDE=FQ","FILING_STATUS=OR","SCALING_FORMAT=MLN","Sort=A","Dates=H","DateFormat=P","Fill=—","Direction=H","UseDPDF=Y")</f>
        <v>-48</v>
      </c>
      <c r="Z11" s="13">
        <f>_xll.BDH("XOM US Equity","OTHER_NON_CASH_ADJ_LESS_DETAILED","FQ2 2004","FQ2 2004","Currency=USD","Period=FQ","BEST_FPERIOD_OVERRIDE=FQ","FILING_STATUS=OR","SCALING_FORMAT=MLN","Sort=A","Dates=H","DateFormat=P","Fill=—","Direction=H","UseDPDF=Y")</f>
        <v>-138</v>
      </c>
      <c r="AA11" s="13">
        <f>_xll.BDH("XOM US Equity","OTHER_NON_CASH_ADJ_LESS_DETAILED","FQ3 2004","FQ3 2004","Currency=USD","Period=FQ","BEST_FPERIOD_OVERRIDE=FQ","FILING_STATUS=OR","SCALING_FORMAT=MLN","Sort=A","Dates=H","DateFormat=P","Fill=—","Direction=H","UseDPDF=Y")</f>
        <v>210</v>
      </c>
      <c r="AB11" s="13">
        <f>_xll.BDH("XOM US Equity","OTHER_NON_CASH_ADJ_LESS_DETAILED","FQ4 2004","FQ4 2004","Currency=USD","Period=FQ","BEST_FPERIOD_OVERRIDE=FQ","FILING_STATUS=OR","SCALING_FORMAT=MLN","Sort=A","Dates=H","DateFormat=P","Fill=—","Direction=H","UseDPDF=Y")</f>
        <v>-219</v>
      </c>
      <c r="AC11" s="13">
        <f>_xll.BDH("XOM US Equity","OTHER_NON_CASH_ADJ_LESS_DETAILED","FQ1 2005","FQ1 2005","Currency=USD","Period=FQ","BEST_FPERIOD_OVERRIDE=FQ","FILING_STATUS=OR","SCALING_FORMAT=MLN","Sort=A","Dates=H","DateFormat=P","Fill=—","Direction=H","UseDPDF=Y")</f>
        <v>-994</v>
      </c>
      <c r="AD11" s="13">
        <f>_xll.BDH("XOM US Equity","OTHER_NON_CASH_ADJ_LESS_DETAILED","FQ2 2005","FQ2 2005","Currency=USD","Period=FQ","BEST_FPERIOD_OVERRIDE=FQ","FILING_STATUS=OR","SCALING_FORMAT=MLN","Sort=A","Dates=H","DateFormat=P","Fill=—","Direction=H","UseDPDF=Y")</f>
        <v>-167</v>
      </c>
      <c r="AE11" s="13">
        <f>_xll.BDH("XOM US Equity","OTHER_NON_CASH_ADJ_LESS_DETAILED","FQ3 2005","FQ3 2005","Currency=USD","Period=FQ","BEST_FPERIOD_OVERRIDE=FQ","FILING_STATUS=OR","SCALING_FORMAT=MLN","Sort=A","Dates=H","DateFormat=P","Fill=—","Direction=H","UseDPDF=Y")</f>
        <v>-319</v>
      </c>
      <c r="AF11" s="13">
        <f>_xll.BDH("XOM US Equity","OTHER_NON_CASH_ADJ_LESS_DETAILED","FQ4 2005","FQ4 2005","Currency=USD","Period=FQ","BEST_FPERIOD_OVERRIDE=FQ","FILING_STATUS=OR","SCALING_FORMAT=MLN","Sort=A","Dates=H","DateFormat=P","Fill=—","Direction=H","UseDPDF=Y")</f>
        <v>-1</v>
      </c>
      <c r="AG11" s="13">
        <f>_xll.BDH("XOM US Equity","OTHER_NON_CASH_ADJ_LESS_DETAILED","FQ1 2006","FQ1 2006","Currency=USD","Period=FQ","BEST_FPERIOD_OVERRIDE=FQ","FILING_STATUS=OR","SCALING_FORMAT=MLN","Sort=A","Dates=H","DateFormat=P","Fill=—","Direction=H","UseDPDF=Y")</f>
        <v>330</v>
      </c>
      <c r="AH11" s="13">
        <f>_xll.BDH("XOM US Equity","OTHER_NON_CASH_ADJ_LESS_DETAILED","FQ2 2006","FQ2 2006","Currency=USD","Period=FQ","BEST_FPERIOD_OVERRIDE=FQ","FILING_STATUS=OR","SCALING_FORMAT=MLN","Sort=A","Dates=H","DateFormat=P","Fill=—","Direction=H","UseDPDF=Y")</f>
        <v>431</v>
      </c>
      <c r="AI11" s="13">
        <f>_xll.BDH("XOM US Equity","OTHER_NON_CASH_ADJ_LESS_DETAILED","FQ3 2006","FQ3 2006","Currency=USD","Period=FQ","BEST_FPERIOD_OVERRIDE=FQ","FILING_STATUS=OR","SCALING_FORMAT=MLN","Sort=A","Dates=H","DateFormat=P","Fill=—","Direction=H","UseDPDF=Y")</f>
        <v>-1557</v>
      </c>
      <c r="AJ11" s="13">
        <f>_xll.BDH("XOM US Equity","OTHER_NON_CASH_ADJ_LESS_DETAILED","FQ4 2006","FQ4 2006","Currency=USD","Period=FQ","BEST_FPERIOD_OVERRIDE=FQ","FILING_STATUS=OR","SCALING_FORMAT=MLN","Sort=A","Dates=H","DateFormat=P","Fill=—","Direction=H","UseDPDF=Y")</f>
        <v>-2088</v>
      </c>
      <c r="AK11" s="13">
        <f>_xll.BDH("XOM US Equity","OTHER_NON_CASH_ADJ_LESS_DETAILED","FQ1 2007","FQ1 2007","Currency=USD","Period=FQ","BEST_FPERIOD_OVERRIDE=FQ","FILING_STATUS=OR","SCALING_FORMAT=MLN","Sort=A","Dates=H","DateFormat=P","Fill=—","Direction=H","UseDPDF=Y")</f>
        <v>221</v>
      </c>
      <c r="AL11" s="13">
        <f>_xll.BDH("XOM US Equity","OTHER_NON_CASH_ADJ_LESS_DETAILED","FQ2 2007","FQ2 2007","Currency=USD","Period=FQ","BEST_FPERIOD_OVERRIDE=FQ","FILING_STATUS=OR","SCALING_FORMAT=MLN","Sort=A","Dates=H","DateFormat=P","Fill=—","Direction=H","UseDPDF=Y")</f>
        <v>273</v>
      </c>
      <c r="AM11" s="13">
        <f>_xll.BDH("XOM US Equity","OTHER_NON_CASH_ADJ_LESS_DETAILED","FQ3 2007","FQ3 2007","Currency=USD","Period=FQ","BEST_FPERIOD_OVERRIDE=FQ","FILING_STATUS=OR","SCALING_FORMAT=MLN","Sort=A","Dates=H","DateFormat=P","Fill=—","Direction=H","UseDPDF=Y")</f>
        <v>845</v>
      </c>
      <c r="AN11" s="13">
        <f>_xll.BDH("XOM US Equity","OTHER_NON_CASH_ADJ_LESS_DETAILED","FQ4 2007","FQ4 2007","Currency=USD","Period=FQ","BEST_FPERIOD_OVERRIDE=FQ","FILING_STATUS=OR","SCALING_FORMAT=MLN","Sort=A","Dates=H","DateFormat=P","Fill=—","Direction=H","UseDPDF=Y")</f>
        <v>-3460</v>
      </c>
      <c r="AO11" s="13">
        <f>_xll.BDH("XOM US Equity","OTHER_NON_CASH_ADJ_LESS_DETAILED","FQ1 2008","FQ1 2008","Currency=USD","Period=FQ","BEST_FPERIOD_OVERRIDE=FQ","FILING_STATUS=OR","SCALING_FORMAT=MLN","Sort=A","Dates=H","DateFormat=P","Fill=—","Direction=H","UseDPDF=Y")</f>
        <v>-377</v>
      </c>
      <c r="AP11" s="13">
        <f>_xll.BDH("XOM US Equity","OTHER_NON_CASH_ADJ_LESS_DETAILED","FQ2 2008","FQ2 2008","Currency=USD","Period=FQ","BEST_FPERIOD_OVERRIDE=FQ","FILING_STATUS=OR","SCALING_FORMAT=MLN","Sort=A","Dates=H","DateFormat=P","Fill=—","Direction=H","UseDPDF=Y")</f>
        <v>-835</v>
      </c>
    </row>
    <row r="12" spans="1:42" x14ac:dyDescent="0.25">
      <c r="A12" s="10" t="s">
        <v>296</v>
      </c>
      <c r="B12" s="10" t="s">
        <v>297</v>
      </c>
      <c r="C12" s="13">
        <f>_xll.BDH("XOM US Equity","CF_CHNG_NON_CASH_WORK_CAP","FQ3 1998","FQ3 1998","Currency=USD","Period=FQ","BEST_FPERIOD_OVERRIDE=FQ","FILING_STATUS=OR","SCALING_FORMAT=MLN","Sort=A","Dates=H","DateFormat=P","Fill=—","Direction=H","UseDPDF=Y")</f>
        <v>621</v>
      </c>
      <c r="D12" s="13">
        <f>_xll.BDH("XOM US Equity","CF_CHNG_NON_CASH_WORK_CAP","FQ4 1998","FQ4 1998","Currency=USD","Period=FQ","BEST_FPERIOD_OVERRIDE=FQ","FILING_STATUS=OR","SCALING_FORMAT=MLN","Sort=A","Dates=H","DateFormat=P","Fill=—","Direction=H","UseDPDF=Y")</f>
        <v>-957</v>
      </c>
      <c r="E12" s="13">
        <f>_xll.BDH("XOM US Equity","CF_CHNG_NON_CASH_WORK_CAP","FQ1 1999","FQ1 1999","Currency=USD","Period=FQ","BEST_FPERIOD_OVERRIDE=FQ","FILING_STATUS=OR","SCALING_FORMAT=MLN","Sort=A","Dates=H","DateFormat=P","Fill=—","Direction=H","UseDPDF=Y")</f>
        <v>746</v>
      </c>
      <c r="F12" s="13">
        <f>_xll.BDH("XOM US Equity","CF_CHNG_NON_CASH_WORK_CAP","FQ2 1999","FQ2 1999","Currency=USD","Period=FQ","BEST_FPERIOD_OVERRIDE=FQ","FILING_STATUS=OR","SCALING_FORMAT=MLN","Sort=A","Dates=H","DateFormat=P","Fill=—","Direction=H","UseDPDF=Y")</f>
        <v>-62</v>
      </c>
      <c r="G12" s="13">
        <f>_xll.BDH("XOM US Equity","CF_CHNG_NON_CASH_WORK_CAP","FQ3 1999","FQ3 1999","Currency=USD","Period=FQ","BEST_FPERIOD_OVERRIDE=FQ","FILING_STATUS=OR","SCALING_FORMAT=MLN","Sort=A","Dates=H","DateFormat=P","Fill=—","Direction=H","UseDPDF=Y")</f>
        <v>-9</v>
      </c>
      <c r="H12" s="13">
        <f>_xll.BDH("XOM US Equity","CF_CHNG_NON_CASH_WORK_CAP","FQ4 1999","FQ4 1999","Currency=USD","Period=FQ","BEST_FPERIOD_OVERRIDE=FQ","FILING_STATUS=OR","SCALING_FORMAT=MLN","Sort=A","Dates=H","DateFormat=P","Fill=—","Direction=H","UseDPDF=Y")</f>
        <v>-880</v>
      </c>
      <c r="I12" s="13">
        <f>_xll.BDH("XOM US Equity","CF_CHNG_NON_CASH_WORK_CAP","FQ1 2000","FQ1 2000","Currency=USD","Period=FQ","BEST_FPERIOD_OVERRIDE=FQ","FILING_STATUS=OR","SCALING_FORMAT=MLN","Sort=A","Dates=H","DateFormat=P","Fill=—","Direction=H","UseDPDF=Y")</f>
        <v>1830</v>
      </c>
      <c r="J12" s="13">
        <f>_xll.BDH("XOM US Equity","CF_CHNG_NON_CASH_WORK_CAP","FQ2 2000","FQ2 2000","Currency=USD","Period=FQ","BEST_FPERIOD_OVERRIDE=FQ","FILING_STATUS=OR","SCALING_FORMAT=MLN","Sort=A","Dates=H","DateFormat=P","Fill=—","Direction=H","UseDPDF=Y")</f>
        <v>394</v>
      </c>
      <c r="K12" s="13">
        <f>_xll.BDH("XOM US Equity","CF_CHNG_NON_CASH_WORK_CAP","FQ3 2000","FQ3 2000","Currency=USD","Period=FQ","BEST_FPERIOD_OVERRIDE=FQ","FILING_STATUS=OR","SCALING_FORMAT=MLN","Sort=A","Dates=H","DateFormat=P","Fill=—","Direction=H","UseDPDF=Y")</f>
        <v>-492</v>
      </c>
      <c r="L12" s="13">
        <f>_xll.BDH("XOM US Equity","CF_CHNG_NON_CASH_WORK_CAP","FQ4 2000","FQ4 2000","Currency=USD","Period=FQ","BEST_FPERIOD_OVERRIDE=FQ","FILING_STATUS=OR","SCALING_FORMAT=MLN","Sort=A","Dates=H","DateFormat=P","Fill=—","Direction=H","UseDPDF=Y")</f>
        <v>-1980</v>
      </c>
      <c r="M12" s="13">
        <f>_xll.BDH("XOM US Equity","CF_CHNG_NON_CASH_WORK_CAP","FQ1 2001","FQ1 2001","Currency=USD","Period=FQ","BEST_FPERIOD_OVERRIDE=FQ","FILING_STATUS=OR","SCALING_FORMAT=MLN","Sort=A","Dates=H","DateFormat=P","Fill=—","Direction=H","UseDPDF=Y")</f>
        <v>1678</v>
      </c>
      <c r="N12" s="13">
        <f>_xll.BDH("XOM US Equity","CF_CHNG_NON_CASH_WORK_CAP","FQ2 2001","FQ2 2001","Currency=USD","Period=FQ","BEST_FPERIOD_OVERRIDE=FQ","FILING_STATUS=OR","SCALING_FORMAT=MLN","Sort=A","Dates=H","DateFormat=P","Fill=—","Direction=H","UseDPDF=Y")</f>
        <v>-422</v>
      </c>
      <c r="O12" s="13">
        <f>_xll.BDH("XOM US Equity","CF_CHNG_NON_CASH_WORK_CAP","FQ3 2001","FQ3 2001","Currency=USD","Period=FQ","BEST_FPERIOD_OVERRIDE=FQ","FILING_STATUS=OR","SCALING_FORMAT=MLN","Sort=A","Dates=H","DateFormat=P","Fill=—","Direction=H","UseDPDF=Y")</f>
        <v>-424</v>
      </c>
      <c r="P12" s="13">
        <f>_xll.BDH("XOM US Equity","CF_CHNG_NON_CASH_WORK_CAP","FQ4 2001","FQ4 2001","Currency=USD","Period=FQ","BEST_FPERIOD_OVERRIDE=FQ","FILING_STATUS=OR","SCALING_FORMAT=MLN","Sort=A","Dates=H","DateFormat=P","Fill=—","Direction=H","UseDPDF=Y")</f>
        <v>-2808</v>
      </c>
      <c r="Q12" s="13">
        <f>_xll.BDH("XOM US Equity","CF_CHNG_NON_CASH_WORK_CAP","FQ1 2002","FQ1 2002","Currency=USD","Period=FQ","BEST_FPERIOD_OVERRIDE=FQ","FILING_STATUS=OR","SCALING_FORMAT=MLN","Sort=A","Dates=H","DateFormat=P","Fill=—","Direction=H","UseDPDF=Y")</f>
        <v>872</v>
      </c>
      <c r="R12" s="13">
        <f>_xll.BDH("XOM US Equity","CF_CHNG_NON_CASH_WORK_CAP","FQ2 2002","FQ2 2002","Currency=USD","Period=FQ","BEST_FPERIOD_OVERRIDE=FQ","FILING_STATUS=OR","SCALING_FORMAT=MLN","Sort=A","Dates=H","DateFormat=P","Fill=—","Direction=H","UseDPDF=Y")</f>
        <v>-784</v>
      </c>
      <c r="S12" s="13">
        <f>_xll.BDH("XOM US Equity","CF_CHNG_NON_CASH_WORK_CAP","FQ3 2002","FQ3 2002","Currency=USD","Period=FQ","BEST_FPERIOD_OVERRIDE=FQ","FILING_STATUS=OR","SCALING_FORMAT=MLN","Sort=A","Dates=H","DateFormat=P","Fill=—","Direction=H","UseDPDF=Y")</f>
        <v>2422</v>
      </c>
      <c r="T12" s="13">
        <f>_xll.BDH("XOM US Equity","CF_CHNG_NON_CASH_WORK_CAP","FQ4 2002","FQ4 2002","Currency=USD","Period=FQ","BEST_FPERIOD_OVERRIDE=FQ","FILING_STATUS=OR","SCALING_FORMAT=MLN","Sort=A","Dates=H","DateFormat=P","Fill=—","Direction=H","UseDPDF=Y")</f>
        <v>-758</v>
      </c>
      <c r="U12" s="13">
        <f>_xll.BDH("XOM US Equity","CF_CHNG_NON_CASH_WORK_CAP","FQ1 2003","FQ1 2003","Currency=USD","Period=FQ","BEST_FPERIOD_OVERRIDE=FQ","FILING_STATUS=OR","SCALING_FORMAT=MLN","Sort=A","Dates=H","DateFormat=P","Fill=—","Direction=H","UseDPDF=Y")</f>
        <v>1928</v>
      </c>
      <c r="V12" s="13">
        <f>_xll.BDH("XOM US Equity","CF_CHNG_NON_CASH_WORK_CAP","FQ2 2003","FQ2 2003","Currency=USD","Period=FQ","BEST_FPERIOD_OVERRIDE=FQ","FILING_STATUS=OR","SCALING_FORMAT=MLN","Sort=A","Dates=H","DateFormat=P","Fill=—","Direction=H","UseDPDF=Y")</f>
        <v>542</v>
      </c>
      <c r="W12" s="13">
        <f>_xll.BDH("XOM US Equity","CF_CHNG_NON_CASH_WORK_CAP","FQ3 2003","FQ3 2003","Currency=USD","Period=FQ","BEST_FPERIOD_OVERRIDE=FQ","FILING_STATUS=OR","SCALING_FORMAT=MLN","Sort=A","Dates=H","DateFormat=P","Fill=—","Direction=H","UseDPDF=Y")</f>
        <v>2037</v>
      </c>
      <c r="X12" s="13">
        <f>_xll.BDH("XOM US Equity","CF_CHNG_NON_CASH_WORK_CAP","FQ4 2003","FQ4 2003","Currency=USD","Period=FQ","BEST_FPERIOD_OVERRIDE=FQ","FILING_STATUS=OR","SCALING_FORMAT=MLN","Sort=A","Dates=H","DateFormat=P","Fill=—","Direction=H","UseDPDF=Y")</f>
        <v>-4721</v>
      </c>
      <c r="Y12" s="13">
        <f>_xll.BDH("XOM US Equity","CF_CHNG_NON_CASH_WORK_CAP","FQ1 2004","FQ1 2004","Currency=USD","Period=FQ","BEST_FPERIOD_OVERRIDE=FQ","FILING_STATUS=OR","SCALING_FORMAT=MLN","Sort=A","Dates=H","DateFormat=P","Fill=—","Direction=H","UseDPDF=Y")</f>
        <v>2373</v>
      </c>
      <c r="Z12" s="13">
        <f>_xll.BDH("XOM US Equity","CF_CHNG_NON_CASH_WORK_CAP","FQ2 2004","FQ2 2004","Currency=USD","Period=FQ","BEST_FPERIOD_OVERRIDE=FQ","FILING_STATUS=OR","SCALING_FORMAT=MLN","Sort=A","Dates=H","DateFormat=P","Fill=—","Direction=H","UseDPDF=Y")</f>
        <v>650</v>
      </c>
      <c r="AA12" s="13">
        <f>_xll.BDH("XOM US Equity","CF_CHNG_NON_CASH_WORK_CAP","FQ3 2004","FQ3 2004","Currency=USD","Period=FQ","BEST_FPERIOD_OVERRIDE=FQ","FILING_STATUS=OR","SCALING_FORMAT=MLN","Sort=A","Dates=H","DateFormat=P","Fill=—","Direction=H","UseDPDF=Y")</f>
        <v>1132</v>
      </c>
      <c r="AB12" s="13">
        <f>_xll.BDH("XOM US Equity","CF_CHNG_NON_CASH_WORK_CAP","FQ4 2004","FQ4 2004","Currency=USD","Period=FQ","BEST_FPERIOD_OVERRIDE=FQ","FILING_STATUS=OR","SCALING_FORMAT=MLN","Sort=A","Dates=H","DateFormat=P","Fill=—","Direction=H","UseDPDF=Y")</f>
        <v>1494</v>
      </c>
      <c r="AC12" s="13">
        <f>_xll.BDH("XOM US Equity","CF_CHNG_NON_CASH_WORK_CAP","FQ1 2005","FQ1 2005","Currency=USD","Period=FQ","BEST_FPERIOD_OVERRIDE=FQ","FILING_STATUS=OR","SCALING_FORMAT=MLN","Sort=A","Dates=H","DateFormat=P","Fill=—","Direction=H","UseDPDF=Y")</f>
        <v>3549</v>
      </c>
      <c r="AD12" s="13">
        <f>_xll.BDH("XOM US Equity","CF_CHNG_NON_CASH_WORK_CAP","FQ2 2005","FQ2 2005","Currency=USD","Period=FQ","BEST_FPERIOD_OVERRIDE=FQ","FILING_STATUS=OR","SCALING_FORMAT=MLN","Sort=A","Dates=H","DateFormat=P","Fill=—","Direction=H","UseDPDF=Y")</f>
        <v>-976</v>
      </c>
      <c r="AE12" s="13">
        <f>_xll.BDH("XOM US Equity","CF_CHNG_NON_CASH_WORK_CAP","FQ3 2005","FQ3 2005","Currency=USD","Period=FQ","BEST_FPERIOD_OVERRIDE=FQ","FILING_STATUS=OR","SCALING_FORMAT=MLN","Sort=A","Dates=H","DateFormat=P","Fill=—","Direction=H","UseDPDF=Y")</f>
        <v>3653</v>
      </c>
      <c r="AF12" s="13">
        <f>_xll.BDH("XOM US Equity","CF_CHNG_NON_CASH_WORK_CAP","FQ4 2005","FQ4 2005","Currency=USD","Period=FQ","BEST_FPERIOD_OVERRIDE=FQ","FILING_STATUS=OR","SCALING_FORMAT=MLN","Sort=A","Dates=H","DateFormat=P","Fill=—","Direction=H","UseDPDF=Y")</f>
        <v>-2561</v>
      </c>
      <c r="AG12" s="13">
        <f>_xll.BDH("XOM US Equity","CF_CHNG_NON_CASH_WORK_CAP","FQ1 2006","FQ1 2006","Currency=USD","Period=FQ","BEST_FPERIOD_OVERRIDE=FQ","FILING_STATUS=OR","SCALING_FORMAT=MLN","Sort=A","Dates=H","DateFormat=P","Fill=—","Direction=H","UseDPDF=Y")</f>
        <v>3257</v>
      </c>
      <c r="AH12" s="13">
        <f>_xll.BDH("XOM US Equity","CF_CHNG_NON_CASH_WORK_CAP","FQ2 2006","FQ2 2006","Currency=USD","Period=FQ","BEST_FPERIOD_OVERRIDE=FQ","FILING_STATUS=OR","SCALING_FORMAT=MLN","Sort=A","Dates=H","DateFormat=P","Fill=—","Direction=H","UseDPDF=Y")</f>
        <v>-2255</v>
      </c>
      <c r="AI12" s="13">
        <f>_xll.BDH("XOM US Equity","CF_CHNG_NON_CASH_WORK_CAP","FQ3 2006","FQ3 2006","Currency=USD","Period=FQ","BEST_FPERIOD_OVERRIDE=FQ","FILING_STATUS=OR","SCALING_FORMAT=MLN","Sort=A","Dates=H","DateFormat=P","Fill=—","Direction=H","UseDPDF=Y")</f>
        <v>2834</v>
      </c>
      <c r="AJ12" s="13">
        <f>_xll.BDH("XOM US Equity","CF_CHNG_NON_CASH_WORK_CAP","FQ4 2006","FQ4 2006","Currency=USD","Period=FQ","BEST_FPERIOD_OVERRIDE=FQ","FILING_STATUS=OR","SCALING_FORMAT=MLN","Sort=A","Dates=H","DateFormat=P","Fill=—","Direction=H","UseDPDF=Y")</f>
        <v>-4299</v>
      </c>
      <c r="AK12" s="13">
        <f>_xll.BDH("XOM US Equity","CF_CHNG_NON_CASH_WORK_CAP","FQ1 2007","FQ1 2007","Currency=USD","Period=FQ","BEST_FPERIOD_OVERRIDE=FQ","FILING_STATUS=OR","SCALING_FORMAT=MLN","Sort=A","Dates=H","DateFormat=P","Fill=—","Direction=H","UseDPDF=Y")</f>
        <v>1843</v>
      </c>
      <c r="AL12" s="13">
        <f>_xll.BDH("XOM US Equity","CF_CHNG_NON_CASH_WORK_CAP","FQ2 2007","FQ2 2007","Currency=USD","Period=FQ","BEST_FPERIOD_OVERRIDE=FQ","FILING_STATUS=OR","SCALING_FORMAT=MLN","Sort=A","Dates=H","DateFormat=P","Fill=—","Direction=H","UseDPDF=Y")</f>
        <v>-2209</v>
      </c>
      <c r="AM12" s="13">
        <f>_xll.BDH("XOM US Equity","CF_CHNG_NON_CASH_WORK_CAP","FQ3 2007","FQ3 2007","Currency=USD","Period=FQ","BEST_FPERIOD_OVERRIDE=FQ","FILING_STATUS=OR","SCALING_FORMAT=MLN","Sort=A","Dates=H","DateFormat=P","Fill=—","Direction=H","UseDPDF=Y")</f>
        <v>1649</v>
      </c>
      <c r="AN12" s="13">
        <f>_xll.BDH("XOM US Equity","CF_CHNG_NON_CASH_WORK_CAP","FQ4 2007","FQ4 2007","Currency=USD","Period=FQ","BEST_FPERIOD_OVERRIDE=FQ","FILING_STATUS=OR","SCALING_FORMAT=MLN","Sort=A","Dates=H","DateFormat=P","Fill=—","Direction=H","UseDPDF=Y")</f>
        <v>-144</v>
      </c>
      <c r="AO12" s="13">
        <f>_xll.BDH("XOM US Equity","CF_CHNG_NON_CASH_WORK_CAP","FQ1 2008","FQ1 2008","Currency=USD","Period=FQ","BEST_FPERIOD_OVERRIDE=FQ","FILING_STATUS=OR","SCALING_FORMAT=MLN","Sort=A","Dates=H","DateFormat=P","Fill=—","Direction=H","UseDPDF=Y")</f>
        <v>7803</v>
      </c>
      <c r="AP12" s="13">
        <f>_xll.BDH("XOM US Equity","CF_CHNG_NON_CASH_WORK_CAP","FQ2 2008","FQ2 2008","Currency=USD","Period=FQ","BEST_FPERIOD_OVERRIDE=FQ","FILING_STATUS=OR","SCALING_FORMAT=MLN","Sort=A","Dates=H","DateFormat=P","Fill=—","Direction=H","UseDPDF=Y")</f>
        <v>-517</v>
      </c>
    </row>
    <row r="13" spans="1:42" x14ac:dyDescent="0.25">
      <c r="A13" s="10" t="s">
        <v>298</v>
      </c>
      <c r="B13" s="10" t="s">
        <v>299</v>
      </c>
      <c r="C13" s="13" t="str">
        <f>_xll.BDH("XOM US Equity","CF_CHANGE_IN_INVENTORIES","FQ3 1998","FQ3 1998","Currency=USD","Period=FQ","BEST_FPERIOD_OVERRIDE=FQ","FILING_STATUS=OR","SCALING_FORMAT=MLN","Sort=A","Dates=H","DateFormat=P","Fill=—","Direction=H","UseDPDF=Y")</f>
        <v>—</v>
      </c>
      <c r="D13" s="13" t="str">
        <f>_xll.BDH("XOM US Equity","CF_CHANGE_IN_INVENTORIES","FQ4 1998","FQ4 1998","Currency=USD","Period=FQ","BEST_FPERIOD_OVERRIDE=FQ","FILING_STATUS=OR","SCALING_FORMAT=MLN","Sort=A","Dates=H","DateFormat=P","Fill=—","Direction=H","UseDPDF=Y")</f>
        <v>—</v>
      </c>
      <c r="E13" s="13" t="str">
        <f>_xll.BDH("XOM US Equity","CF_CHANGE_IN_INVENTORIES","FQ1 1999","FQ1 1999","Currency=USD","Period=FQ","BEST_FPERIOD_OVERRIDE=FQ","FILING_STATUS=OR","SCALING_FORMAT=MLN","Sort=A","Dates=H","DateFormat=P","Fill=—","Direction=H","UseDPDF=Y")</f>
        <v>—</v>
      </c>
      <c r="F13" s="13" t="str">
        <f>_xll.BDH("XOM US Equity","CF_CHANGE_IN_INVENTORIES","FQ2 1999","FQ2 1999","Currency=USD","Period=FQ","BEST_FPERIOD_OVERRIDE=FQ","FILING_STATUS=OR","SCALING_FORMAT=MLN","Sort=A","Dates=H","DateFormat=P","Fill=—","Direction=H","UseDPDF=Y")</f>
        <v>—</v>
      </c>
      <c r="G13" s="13" t="str">
        <f>_xll.BDH("XOM US Equity","CF_CHANGE_IN_INVENTORIES","FQ3 1999","FQ3 1999","Currency=USD","Period=FQ","BEST_FPERIOD_OVERRIDE=FQ","FILING_STATUS=OR","SCALING_FORMAT=MLN","Sort=A","Dates=H","DateFormat=P","Fill=—","Direction=H","UseDPDF=Y")</f>
        <v>—</v>
      </c>
      <c r="H13" s="13" t="str">
        <f>_xll.BDH("XOM US Equity","CF_CHANGE_IN_INVENTORIES","FQ4 1999","FQ4 1999","Currency=USD","Period=FQ","BEST_FPERIOD_OVERRIDE=FQ","FILING_STATUS=OR","SCALING_FORMAT=MLN","Sort=A","Dates=H","DateFormat=P","Fill=—","Direction=H","UseDPDF=Y")</f>
        <v>—</v>
      </c>
      <c r="I13" s="13" t="str">
        <f>_xll.BDH("XOM US Equity","CF_CHANGE_IN_INVENTORIES","FQ1 2000","FQ1 2000","Currency=USD","Period=FQ","BEST_FPERIOD_OVERRIDE=FQ","FILING_STATUS=OR","SCALING_FORMAT=MLN","Sort=A","Dates=H","DateFormat=P","Fill=—","Direction=H","UseDPDF=Y")</f>
        <v>—</v>
      </c>
      <c r="J13" s="13" t="str">
        <f>_xll.BDH("XOM US Equity","CF_CHANGE_IN_INVENTORIES","FQ2 2000","FQ2 2000","Currency=USD","Period=FQ","BEST_FPERIOD_OVERRIDE=FQ","FILING_STATUS=OR","SCALING_FORMAT=MLN","Sort=A","Dates=H","DateFormat=P","Fill=—","Direction=H","UseDPDF=Y")</f>
        <v>—</v>
      </c>
      <c r="K13" s="13" t="str">
        <f>_xll.BDH("XOM US Equity","CF_CHANGE_IN_INVENTORIES","FQ3 2000","FQ3 2000","Currency=USD","Period=FQ","BEST_FPERIOD_OVERRIDE=FQ","FILING_STATUS=OR","SCALING_FORMAT=MLN","Sort=A","Dates=H","DateFormat=P","Fill=—","Direction=H","UseDPDF=Y")</f>
        <v>—</v>
      </c>
      <c r="L13" s="13" t="str">
        <f>_xll.BDH("XOM US Equity","CF_CHANGE_IN_INVENTORIES","FQ4 2000","FQ4 2000","Currency=USD","Period=FQ","BEST_FPERIOD_OVERRIDE=FQ","FILING_STATUS=OR","SCALING_FORMAT=MLN","Sort=A","Dates=H","DateFormat=P","Fill=—","Direction=H","UseDPDF=Y")</f>
        <v>—</v>
      </c>
      <c r="M13" s="13" t="str">
        <f>_xll.BDH("XOM US Equity","CF_CHANGE_IN_INVENTORIES","FQ1 2001","FQ1 2001","Currency=USD","Period=FQ","BEST_FPERIOD_OVERRIDE=FQ","FILING_STATUS=OR","SCALING_FORMAT=MLN","Sort=A","Dates=H","DateFormat=P","Fill=—","Direction=H","UseDPDF=Y")</f>
        <v>—</v>
      </c>
      <c r="N13" s="13" t="str">
        <f>_xll.BDH("XOM US Equity","CF_CHANGE_IN_INVENTORIES","FQ2 2001","FQ2 2001","Currency=USD","Period=FQ","BEST_FPERIOD_OVERRIDE=FQ","FILING_STATUS=OR","SCALING_FORMAT=MLN","Sort=A","Dates=H","DateFormat=P","Fill=—","Direction=H","UseDPDF=Y")</f>
        <v>—</v>
      </c>
      <c r="O13" s="13" t="str">
        <f>_xll.BDH("XOM US Equity","CF_CHANGE_IN_INVENTORIES","FQ3 2001","FQ3 2001","Currency=USD","Period=FQ","BEST_FPERIOD_OVERRIDE=FQ","FILING_STATUS=OR","SCALING_FORMAT=MLN","Sort=A","Dates=H","DateFormat=P","Fill=—","Direction=H","UseDPDF=Y")</f>
        <v>—</v>
      </c>
      <c r="P13" s="13" t="str">
        <f>_xll.BDH("XOM US Equity","CF_CHANGE_IN_INVENTORIES","FQ4 2001","FQ4 2001","Currency=USD","Period=FQ","BEST_FPERIOD_OVERRIDE=FQ","FILING_STATUS=OR","SCALING_FORMAT=MLN","Sort=A","Dates=H","DateFormat=P","Fill=—","Direction=H","UseDPDF=Y")</f>
        <v>—</v>
      </c>
      <c r="Q13" s="13" t="str">
        <f>_xll.BDH("XOM US Equity","CF_CHANGE_IN_INVENTORIES","FQ1 2002","FQ1 2002","Currency=USD","Period=FQ","BEST_FPERIOD_OVERRIDE=FQ","FILING_STATUS=OR","SCALING_FORMAT=MLN","Sort=A","Dates=H","DateFormat=P","Fill=—","Direction=H","UseDPDF=Y")</f>
        <v>—</v>
      </c>
      <c r="R13" s="13" t="str">
        <f>_xll.BDH("XOM US Equity","CF_CHANGE_IN_INVENTORIES","FQ2 2002","FQ2 2002","Currency=USD","Period=FQ","BEST_FPERIOD_OVERRIDE=FQ","FILING_STATUS=OR","SCALING_FORMAT=MLN","Sort=A","Dates=H","DateFormat=P","Fill=—","Direction=H","UseDPDF=Y")</f>
        <v>—</v>
      </c>
      <c r="S13" s="13" t="str">
        <f>_xll.BDH("XOM US Equity","CF_CHANGE_IN_INVENTORIES","FQ3 2002","FQ3 2002","Currency=USD","Period=FQ","BEST_FPERIOD_OVERRIDE=FQ","FILING_STATUS=OR","SCALING_FORMAT=MLN","Sort=A","Dates=H","DateFormat=P","Fill=—","Direction=H","UseDPDF=Y")</f>
        <v>—</v>
      </c>
      <c r="T13" s="13" t="str">
        <f>_xll.BDH("XOM US Equity","CF_CHANGE_IN_INVENTORIES","FQ4 2002","FQ4 2002","Currency=USD","Period=FQ","BEST_FPERIOD_OVERRIDE=FQ","FILING_STATUS=OR","SCALING_FORMAT=MLN","Sort=A","Dates=H","DateFormat=P","Fill=—","Direction=H","UseDPDF=Y")</f>
        <v>—</v>
      </c>
      <c r="U13" s="13" t="str">
        <f>_xll.BDH("XOM US Equity","CF_CHANGE_IN_INVENTORIES","FQ1 2003","FQ1 2003","Currency=USD","Period=FQ","BEST_FPERIOD_OVERRIDE=FQ","FILING_STATUS=OR","SCALING_FORMAT=MLN","Sort=A","Dates=H","DateFormat=P","Fill=—","Direction=H","UseDPDF=Y")</f>
        <v>—</v>
      </c>
      <c r="V13" s="13" t="str">
        <f>_xll.BDH("XOM US Equity","CF_CHANGE_IN_INVENTORIES","FQ2 2003","FQ2 2003","Currency=USD","Period=FQ","BEST_FPERIOD_OVERRIDE=FQ","FILING_STATUS=OR","SCALING_FORMAT=MLN","Sort=A","Dates=H","DateFormat=P","Fill=—","Direction=H","UseDPDF=Y")</f>
        <v>—</v>
      </c>
      <c r="W13" s="13" t="str">
        <f>_xll.BDH("XOM US Equity","CF_CHANGE_IN_INVENTORIES","FQ3 2003","FQ3 2003","Currency=USD","Period=FQ","BEST_FPERIOD_OVERRIDE=FQ","FILING_STATUS=OR","SCALING_FORMAT=MLN","Sort=A","Dates=H","DateFormat=P","Fill=—","Direction=H","UseDPDF=Y")</f>
        <v>—</v>
      </c>
      <c r="X13" s="13" t="str">
        <f>_xll.BDH("XOM US Equity","CF_CHANGE_IN_INVENTORIES","FQ4 2003","FQ4 2003","Currency=USD","Period=FQ","BEST_FPERIOD_OVERRIDE=FQ","FILING_STATUS=OR","SCALING_FORMAT=MLN","Sort=A","Dates=H","DateFormat=P","Fill=—","Direction=H","UseDPDF=Y")</f>
        <v>—</v>
      </c>
      <c r="Y13" s="13" t="str">
        <f>_xll.BDH("XOM US Equity","CF_CHANGE_IN_INVENTORIES","FQ1 2004","FQ1 2004","Currency=USD","Period=FQ","BEST_FPERIOD_OVERRIDE=FQ","FILING_STATUS=OR","SCALING_FORMAT=MLN","Sort=A","Dates=H","DateFormat=P","Fill=—","Direction=H","UseDPDF=Y")</f>
        <v>—</v>
      </c>
      <c r="Z13" s="13" t="str">
        <f>_xll.BDH("XOM US Equity","CF_CHANGE_IN_INVENTORIES","FQ2 2004","FQ2 2004","Currency=USD","Period=FQ","BEST_FPERIOD_OVERRIDE=FQ","FILING_STATUS=OR","SCALING_FORMAT=MLN","Sort=A","Dates=H","DateFormat=P","Fill=—","Direction=H","UseDPDF=Y")</f>
        <v>—</v>
      </c>
      <c r="AA13" s="13" t="str">
        <f>_xll.BDH("XOM US Equity","CF_CHANGE_IN_INVENTORIES","FQ3 2004","FQ3 2004","Currency=USD","Period=FQ","BEST_FPERIOD_OVERRIDE=FQ","FILING_STATUS=OR","SCALING_FORMAT=MLN","Sort=A","Dates=H","DateFormat=P","Fill=—","Direction=H","UseDPDF=Y")</f>
        <v>—</v>
      </c>
      <c r="AB13" s="13" t="str">
        <f>_xll.BDH("XOM US Equity","CF_CHANGE_IN_INVENTORIES","FQ4 2004","FQ4 2004","Currency=USD","Period=FQ","BEST_FPERIOD_OVERRIDE=FQ","FILING_STATUS=OR","SCALING_FORMAT=MLN","Sort=A","Dates=H","DateFormat=P","Fill=—","Direction=H","UseDPDF=Y")</f>
        <v>—</v>
      </c>
      <c r="AC13" s="13" t="str">
        <f>_xll.BDH("XOM US Equity","CF_CHANGE_IN_INVENTORIES","FQ1 2005","FQ1 2005","Currency=USD","Period=FQ","BEST_FPERIOD_OVERRIDE=FQ","FILING_STATUS=OR","SCALING_FORMAT=MLN","Sort=A","Dates=H","DateFormat=P","Fill=—","Direction=H","UseDPDF=Y")</f>
        <v>—</v>
      </c>
      <c r="AD13" s="13" t="str">
        <f>_xll.BDH("XOM US Equity","CF_CHANGE_IN_INVENTORIES","FQ2 2005","FQ2 2005","Currency=USD","Period=FQ","BEST_FPERIOD_OVERRIDE=FQ","FILING_STATUS=OR","SCALING_FORMAT=MLN","Sort=A","Dates=H","DateFormat=P","Fill=—","Direction=H","UseDPDF=Y")</f>
        <v>—</v>
      </c>
      <c r="AE13" s="13" t="str">
        <f>_xll.BDH("XOM US Equity","CF_CHANGE_IN_INVENTORIES","FQ3 2005","FQ3 2005","Currency=USD","Period=FQ","BEST_FPERIOD_OVERRIDE=FQ","FILING_STATUS=OR","SCALING_FORMAT=MLN","Sort=A","Dates=H","DateFormat=P","Fill=—","Direction=H","UseDPDF=Y")</f>
        <v>—</v>
      </c>
      <c r="AF13" s="13">
        <f>_xll.BDH("XOM US Equity","CF_CHANGE_IN_INVENTORIES","FQ4 2005","FQ4 2005","Currency=USD","Period=FQ","BEST_FPERIOD_OVERRIDE=FQ","FILING_STATUS=OR","SCALING_FORMAT=MLN","Sort=A","Dates=H","DateFormat=P","Fill=—","Direction=H","UseDPDF=Y")</f>
        <v>-434</v>
      </c>
      <c r="AG13" s="13" t="str">
        <f>_xll.BDH("XOM US Equity","CF_CHANGE_IN_INVENTORIES","FQ1 2006","FQ1 2006","Currency=USD","Period=FQ","BEST_FPERIOD_OVERRIDE=FQ","FILING_STATUS=OR","SCALING_FORMAT=MLN","Sort=A","Dates=H","DateFormat=P","Fill=—","Direction=H","UseDPDF=Y")</f>
        <v>—</v>
      </c>
      <c r="AH13" s="13" t="str">
        <f>_xll.BDH("XOM US Equity","CF_CHANGE_IN_INVENTORIES","FQ2 2006","FQ2 2006","Currency=USD","Period=FQ","BEST_FPERIOD_OVERRIDE=FQ","FILING_STATUS=OR","SCALING_FORMAT=MLN","Sort=A","Dates=H","DateFormat=P","Fill=—","Direction=H","UseDPDF=Y")</f>
        <v>—</v>
      </c>
      <c r="AI13" s="13" t="str">
        <f>_xll.BDH("XOM US Equity","CF_CHANGE_IN_INVENTORIES","FQ3 2006","FQ3 2006","Currency=USD","Period=FQ","BEST_FPERIOD_OVERRIDE=FQ","FILING_STATUS=OR","SCALING_FORMAT=MLN","Sort=A","Dates=H","DateFormat=P","Fill=—","Direction=H","UseDPDF=Y")</f>
        <v>—</v>
      </c>
      <c r="AJ13" s="13" t="str">
        <f>_xll.BDH("XOM US Equity","CF_CHANGE_IN_INVENTORIES","FQ4 2006","FQ4 2006","Currency=USD","Period=FQ","BEST_FPERIOD_OVERRIDE=FQ","FILING_STATUS=OR","SCALING_FORMAT=MLN","Sort=A","Dates=H","DateFormat=P","Fill=—","Direction=H","UseDPDF=Y")</f>
        <v>—</v>
      </c>
      <c r="AK13" s="13" t="str">
        <f>_xll.BDH("XOM US Equity","CF_CHANGE_IN_INVENTORIES","FQ1 2007","FQ1 2007","Currency=USD","Period=FQ","BEST_FPERIOD_OVERRIDE=FQ","FILING_STATUS=OR","SCALING_FORMAT=MLN","Sort=A","Dates=H","DateFormat=P","Fill=—","Direction=H","UseDPDF=Y")</f>
        <v>—</v>
      </c>
      <c r="AL13" s="13" t="str">
        <f>_xll.BDH("XOM US Equity","CF_CHANGE_IN_INVENTORIES","FQ2 2007","FQ2 2007","Currency=USD","Period=FQ","BEST_FPERIOD_OVERRIDE=FQ","FILING_STATUS=OR","SCALING_FORMAT=MLN","Sort=A","Dates=H","DateFormat=P","Fill=—","Direction=H","UseDPDF=Y")</f>
        <v>—</v>
      </c>
      <c r="AM13" s="13" t="str">
        <f>_xll.BDH("XOM US Equity","CF_CHANGE_IN_INVENTORIES","FQ3 2007","FQ3 2007","Currency=USD","Period=FQ","BEST_FPERIOD_OVERRIDE=FQ","FILING_STATUS=OR","SCALING_FORMAT=MLN","Sort=A","Dates=H","DateFormat=P","Fill=—","Direction=H","UseDPDF=Y")</f>
        <v>—</v>
      </c>
      <c r="AN13" s="13" t="str">
        <f>_xll.BDH("XOM US Equity","CF_CHANGE_IN_INVENTORIES","FQ4 2007","FQ4 2007","Currency=USD","Period=FQ","BEST_FPERIOD_OVERRIDE=FQ","FILING_STATUS=OR","SCALING_FORMAT=MLN","Sort=A","Dates=H","DateFormat=P","Fill=—","Direction=H","UseDPDF=Y")</f>
        <v>—</v>
      </c>
      <c r="AO13" s="13" t="str">
        <f>_xll.BDH("XOM US Equity","CF_CHANGE_IN_INVENTORIES","FQ1 2008","FQ1 2008","Currency=USD","Period=FQ","BEST_FPERIOD_OVERRIDE=FQ","FILING_STATUS=OR","SCALING_FORMAT=MLN","Sort=A","Dates=H","DateFormat=P","Fill=—","Direction=H","UseDPDF=Y")</f>
        <v>—</v>
      </c>
      <c r="AP13" s="13" t="str">
        <f>_xll.BDH("XOM US Equity","CF_CHANGE_IN_INVENTORIES","FQ2 2008","FQ2 2008","Currency=USD","Period=FQ","BEST_FPERIOD_OVERRIDE=FQ","FILING_STATUS=OR","SCALING_FORMAT=MLN","Sort=A","Dates=H","DateFormat=P","Fill=—","Direction=H","UseDPDF=Y")</f>
        <v>—</v>
      </c>
    </row>
    <row r="14" spans="1:42" x14ac:dyDescent="0.25">
      <c r="A14" s="10" t="s">
        <v>300</v>
      </c>
      <c r="B14" s="10" t="s">
        <v>301</v>
      </c>
      <c r="C14" s="13">
        <f>_xll.BDH("XOM US Equity","INC_DEC_IN_OT_OP_AST_LIAB_DETAIL","FQ3 1998","FQ3 1998","Currency=USD","Period=FQ","BEST_FPERIOD_OVERRIDE=FQ","FILING_STATUS=OR","SCALING_FORMAT=MLN","Sort=A","Dates=H","DateFormat=P","Fill=—","Direction=H","UseDPDF=Y")</f>
        <v>621</v>
      </c>
      <c r="D14" s="13">
        <f>_xll.BDH("XOM US Equity","INC_DEC_IN_OT_OP_AST_LIAB_DETAIL","FQ4 1998","FQ4 1998","Currency=USD","Period=FQ","BEST_FPERIOD_OVERRIDE=FQ","FILING_STATUS=OR","SCALING_FORMAT=MLN","Sort=A","Dates=H","DateFormat=P","Fill=—","Direction=H","UseDPDF=Y")</f>
        <v>-957</v>
      </c>
      <c r="E14" s="13">
        <f>_xll.BDH("XOM US Equity","INC_DEC_IN_OT_OP_AST_LIAB_DETAIL","FQ1 1999","FQ1 1999","Currency=USD","Period=FQ","BEST_FPERIOD_OVERRIDE=FQ","FILING_STATUS=OR","SCALING_FORMAT=MLN","Sort=A","Dates=H","DateFormat=P","Fill=—","Direction=H","UseDPDF=Y")</f>
        <v>746</v>
      </c>
      <c r="F14" s="13">
        <f>_xll.BDH("XOM US Equity","INC_DEC_IN_OT_OP_AST_LIAB_DETAIL","FQ2 1999","FQ2 1999","Currency=USD","Period=FQ","BEST_FPERIOD_OVERRIDE=FQ","FILING_STATUS=OR","SCALING_FORMAT=MLN","Sort=A","Dates=H","DateFormat=P","Fill=—","Direction=H","UseDPDF=Y")</f>
        <v>-62</v>
      </c>
      <c r="G14" s="13">
        <f>_xll.BDH("XOM US Equity","INC_DEC_IN_OT_OP_AST_LIAB_DETAIL","FQ3 1999","FQ3 1999","Currency=USD","Period=FQ","BEST_FPERIOD_OVERRIDE=FQ","FILING_STATUS=OR","SCALING_FORMAT=MLN","Sort=A","Dates=H","DateFormat=P","Fill=—","Direction=H","UseDPDF=Y")</f>
        <v>-9</v>
      </c>
      <c r="H14" s="13">
        <f>_xll.BDH("XOM US Equity","INC_DEC_IN_OT_OP_AST_LIAB_DETAIL","FQ4 1999","FQ4 1999","Currency=USD","Period=FQ","BEST_FPERIOD_OVERRIDE=FQ","FILING_STATUS=OR","SCALING_FORMAT=MLN","Sort=A","Dates=H","DateFormat=P","Fill=—","Direction=H","UseDPDF=Y")</f>
        <v>-880</v>
      </c>
      <c r="I14" s="13">
        <f>_xll.BDH("XOM US Equity","INC_DEC_IN_OT_OP_AST_LIAB_DETAIL","FQ1 2000","FQ1 2000","Currency=USD","Period=FQ","BEST_FPERIOD_OVERRIDE=FQ","FILING_STATUS=OR","SCALING_FORMAT=MLN","Sort=A","Dates=H","DateFormat=P","Fill=—","Direction=H","UseDPDF=Y")</f>
        <v>1830</v>
      </c>
      <c r="J14" s="13">
        <f>_xll.BDH("XOM US Equity","INC_DEC_IN_OT_OP_AST_LIAB_DETAIL","FQ2 2000","FQ2 2000","Currency=USD","Period=FQ","BEST_FPERIOD_OVERRIDE=FQ","FILING_STATUS=OR","SCALING_FORMAT=MLN","Sort=A","Dates=H","DateFormat=P","Fill=—","Direction=H","UseDPDF=Y")</f>
        <v>394</v>
      </c>
      <c r="K14" s="13">
        <f>_xll.BDH("XOM US Equity","INC_DEC_IN_OT_OP_AST_LIAB_DETAIL","FQ3 2000","FQ3 2000","Currency=USD","Period=FQ","BEST_FPERIOD_OVERRIDE=FQ","FILING_STATUS=OR","SCALING_FORMAT=MLN","Sort=A","Dates=H","DateFormat=P","Fill=—","Direction=H","UseDPDF=Y")</f>
        <v>-492</v>
      </c>
      <c r="L14" s="13">
        <f>_xll.BDH("XOM US Equity","INC_DEC_IN_OT_OP_AST_LIAB_DETAIL","FQ4 2000","FQ4 2000","Currency=USD","Period=FQ","BEST_FPERIOD_OVERRIDE=FQ","FILING_STATUS=OR","SCALING_FORMAT=MLN","Sort=A","Dates=H","DateFormat=P","Fill=—","Direction=H","UseDPDF=Y")</f>
        <v>-1980</v>
      </c>
      <c r="M14" s="13">
        <f>_xll.BDH("XOM US Equity","INC_DEC_IN_OT_OP_AST_LIAB_DETAIL","FQ1 2001","FQ1 2001","Currency=USD","Period=FQ","BEST_FPERIOD_OVERRIDE=FQ","FILING_STATUS=OR","SCALING_FORMAT=MLN","Sort=A","Dates=H","DateFormat=P","Fill=—","Direction=H","UseDPDF=Y")</f>
        <v>1678</v>
      </c>
      <c r="N14" s="13">
        <f>_xll.BDH("XOM US Equity","INC_DEC_IN_OT_OP_AST_LIAB_DETAIL","FQ2 2001","FQ2 2001","Currency=USD","Period=FQ","BEST_FPERIOD_OVERRIDE=FQ","FILING_STATUS=OR","SCALING_FORMAT=MLN","Sort=A","Dates=H","DateFormat=P","Fill=—","Direction=H","UseDPDF=Y")</f>
        <v>-422</v>
      </c>
      <c r="O14" s="13">
        <f>_xll.BDH("XOM US Equity","INC_DEC_IN_OT_OP_AST_LIAB_DETAIL","FQ3 2001","FQ3 2001","Currency=USD","Period=FQ","BEST_FPERIOD_OVERRIDE=FQ","FILING_STATUS=OR","SCALING_FORMAT=MLN","Sort=A","Dates=H","DateFormat=P","Fill=—","Direction=H","UseDPDF=Y")</f>
        <v>-424</v>
      </c>
      <c r="P14" s="13">
        <f>_xll.BDH("XOM US Equity","INC_DEC_IN_OT_OP_AST_LIAB_DETAIL","FQ4 2001","FQ4 2001","Currency=USD","Period=FQ","BEST_FPERIOD_OVERRIDE=FQ","FILING_STATUS=OR","SCALING_FORMAT=MLN","Sort=A","Dates=H","DateFormat=P","Fill=—","Direction=H","UseDPDF=Y")</f>
        <v>-2808</v>
      </c>
      <c r="Q14" s="13">
        <f>_xll.BDH("XOM US Equity","INC_DEC_IN_OT_OP_AST_LIAB_DETAIL","FQ1 2002","FQ1 2002","Currency=USD","Period=FQ","BEST_FPERIOD_OVERRIDE=FQ","FILING_STATUS=OR","SCALING_FORMAT=MLN","Sort=A","Dates=H","DateFormat=P","Fill=—","Direction=H","UseDPDF=Y")</f>
        <v>872</v>
      </c>
      <c r="R14" s="13">
        <f>_xll.BDH("XOM US Equity","INC_DEC_IN_OT_OP_AST_LIAB_DETAIL","FQ2 2002","FQ2 2002","Currency=USD","Period=FQ","BEST_FPERIOD_OVERRIDE=FQ","FILING_STATUS=OR","SCALING_FORMAT=MLN","Sort=A","Dates=H","DateFormat=P","Fill=—","Direction=H","UseDPDF=Y")</f>
        <v>-784</v>
      </c>
      <c r="S14" s="13">
        <f>_xll.BDH("XOM US Equity","INC_DEC_IN_OT_OP_AST_LIAB_DETAIL","FQ3 2002","FQ3 2002","Currency=USD","Period=FQ","BEST_FPERIOD_OVERRIDE=FQ","FILING_STATUS=OR","SCALING_FORMAT=MLN","Sort=A","Dates=H","DateFormat=P","Fill=—","Direction=H","UseDPDF=Y")</f>
        <v>2422</v>
      </c>
      <c r="T14" s="13">
        <f>_xll.BDH("XOM US Equity","INC_DEC_IN_OT_OP_AST_LIAB_DETAIL","FQ4 2002","FQ4 2002","Currency=USD","Period=FQ","BEST_FPERIOD_OVERRIDE=FQ","FILING_STATUS=OR","SCALING_FORMAT=MLN","Sort=A","Dates=H","DateFormat=P","Fill=—","Direction=H","UseDPDF=Y")</f>
        <v>-758</v>
      </c>
      <c r="U14" s="13">
        <f>_xll.BDH("XOM US Equity","INC_DEC_IN_OT_OP_AST_LIAB_DETAIL","FQ1 2003","FQ1 2003","Currency=USD","Period=FQ","BEST_FPERIOD_OVERRIDE=FQ","FILING_STATUS=OR","SCALING_FORMAT=MLN","Sort=A","Dates=H","DateFormat=P","Fill=—","Direction=H","UseDPDF=Y")</f>
        <v>1928</v>
      </c>
      <c r="V14" s="13">
        <f>_xll.BDH("XOM US Equity","INC_DEC_IN_OT_OP_AST_LIAB_DETAIL","FQ2 2003","FQ2 2003","Currency=USD","Period=FQ","BEST_FPERIOD_OVERRIDE=FQ","FILING_STATUS=OR","SCALING_FORMAT=MLN","Sort=A","Dates=H","DateFormat=P","Fill=—","Direction=H","UseDPDF=Y")</f>
        <v>542</v>
      </c>
      <c r="W14" s="13">
        <f>_xll.BDH("XOM US Equity","INC_DEC_IN_OT_OP_AST_LIAB_DETAIL","FQ3 2003","FQ3 2003","Currency=USD","Period=FQ","BEST_FPERIOD_OVERRIDE=FQ","FILING_STATUS=OR","SCALING_FORMAT=MLN","Sort=A","Dates=H","DateFormat=P","Fill=—","Direction=H","UseDPDF=Y")</f>
        <v>2037</v>
      </c>
      <c r="X14" s="13">
        <f>_xll.BDH("XOM US Equity","INC_DEC_IN_OT_OP_AST_LIAB_DETAIL","FQ4 2003","FQ4 2003","Currency=USD","Period=FQ","BEST_FPERIOD_OVERRIDE=FQ","FILING_STATUS=OR","SCALING_FORMAT=MLN","Sort=A","Dates=H","DateFormat=P","Fill=—","Direction=H","UseDPDF=Y")</f>
        <v>-4721</v>
      </c>
      <c r="Y14" s="13">
        <f>_xll.BDH("XOM US Equity","INC_DEC_IN_OT_OP_AST_LIAB_DETAIL","FQ1 2004","FQ1 2004","Currency=USD","Period=FQ","BEST_FPERIOD_OVERRIDE=FQ","FILING_STATUS=OR","SCALING_FORMAT=MLN","Sort=A","Dates=H","DateFormat=P","Fill=—","Direction=H","UseDPDF=Y")</f>
        <v>2373</v>
      </c>
      <c r="Z14" s="13">
        <f>_xll.BDH("XOM US Equity","INC_DEC_IN_OT_OP_AST_LIAB_DETAIL","FQ2 2004","FQ2 2004","Currency=USD","Period=FQ","BEST_FPERIOD_OVERRIDE=FQ","FILING_STATUS=OR","SCALING_FORMAT=MLN","Sort=A","Dates=H","DateFormat=P","Fill=—","Direction=H","UseDPDF=Y")</f>
        <v>650</v>
      </c>
      <c r="AA14" s="13">
        <f>_xll.BDH("XOM US Equity","INC_DEC_IN_OT_OP_AST_LIAB_DETAIL","FQ3 2004","FQ3 2004","Currency=USD","Period=FQ","BEST_FPERIOD_OVERRIDE=FQ","FILING_STATUS=OR","SCALING_FORMAT=MLN","Sort=A","Dates=H","DateFormat=P","Fill=—","Direction=H","UseDPDF=Y")</f>
        <v>1132</v>
      </c>
      <c r="AB14" s="13">
        <f>_xll.BDH("XOM US Equity","INC_DEC_IN_OT_OP_AST_LIAB_DETAIL","FQ4 2004","FQ4 2004","Currency=USD","Period=FQ","BEST_FPERIOD_OVERRIDE=FQ","FILING_STATUS=OR","SCALING_FORMAT=MLN","Sort=A","Dates=H","DateFormat=P","Fill=—","Direction=H","UseDPDF=Y")</f>
        <v>1494</v>
      </c>
      <c r="AC14" s="13">
        <f>_xll.BDH("XOM US Equity","INC_DEC_IN_OT_OP_AST_LIAB_DETAIL","FQ1 2005","FQ1 2005","Currency=USD","Period=FQ","BEST_FPERIOD_OVERRIDE=FQ","FILING_STATUS=OR","SCALING_FORMAT=MLN","Sort=A","Dates=H","DateFormat=P","Fill=—","Direction=H","UseDPDF=Y")</f>
        <v>3549</v>
      </c>
      <c r="AD14" s="13">
        <f>_xll.BDH("XOM US Equity","INC_DEC_IN_OT_OP_AST_LIAB_DETAIL","FQ2 2005","FQ2 2005","Currency=USD","Period=FQ","BEST_FPERIOD_OVERRIDE=FQ","FILING_STATUS=OR","SCALING_FORMAT=MLN","Sort=A","Dates=H","DateFormat=P","Fill=—","Direction=H","UseDPDF=Y")</f>
        <v>-976</v>
      </c>
      <c r="AE14" s="13">
        <f>_xll.BDH("XOM US Equity","INC_DEC_IN_OT_OP_AST_LIAB_DETAIL","FQ3 2005","FQ3 2005","Currency=USD","Period=FQ","BEST_FPERIOD_OVERRIDE=FQ","FILING_STATUS=OR","SCALING_FORMAT=MLN","Sort=A","Dates=H","DateFormat=P","Fill=—","Direction=H","UseDPDF=Y")</f>
        <v>3653</v>
      </c>
      <c r="AF14" s="13">
        <f>_xll.BDH("XOM US Equity","INC_DEC_IN_OT_OP_AST_LIAB_DETAIL","FQ4 2005","FQ4 2005","Currency=USD","Period=FQ","BEST_FPERIOD_OVERRIDE=FQ","FILING_STATUS=OR","SCALING_FORMAT=MLN","Sort=A","Dates=H","DateFormat=P","Fill=—","Direction=H","UseDPDF=Y")</f>
        <v>-2127</v>
      </c>
      <c r="AG14" s="13">
        <f>_xll.BDH("XOM US Equity","INC_DEC_IN_OT_OP_AST_LIAB_DETAIL","FQ1 2006","FQ1 2006","Currency=USD","Period=FQ","BEST_FPERIOD_OVERRIDE=FQ","FILING_STATUS=OR","SCALING_FORMAT=MLN","Sort=A","Dates=H","DateFormat=P","Fill=—","Direction=H","UseDPDF=Y")</f>
        <v>3257</v>
      </c>
      <c r="AH14" s="13">
        <f>_xll.BDH("XOM US Equity","INC_DEC_IN_OT_OP_AST_LIAB_DETAIL","FQ2 2006","FQ2 2006","Currency=USD","Period=FQ","BEST_FPERIOD_OVERRIDE=FQ","FILING_STATUS=OR","SCALING_FORMAT=MLN","Sort=A","Dates=H","DateFormat=P","Fill=—","Direction=H","UseDPDF=Y")</f>
        <v>-2255</v>
      </c>
      <c r="AI14" s="13">
        <f>_xll.BDH("XOM US Equity","INC_DEC_IN_OT_OP_AST_LIAB_DETAIL","FQ3 2006","FQ3 2006","Currency=USD","Period=FQ","BEST_FPERIOD_OVERRIDE=FQ","FILING_STATUS=OR","SCALING_FORMAT=MLN","Sort=A","Dates=H","DateFormat=P","Fill=—","Direction=H","UseDPDF=Y")</f>
        <v>2834</v>
      </c>
      <c r="AJ14" s="13">
        <f>_xll.BDH("XOM US Equity","INC_DEC_IN_OT_OP_AST_LIAB_DETAIL","FQ4 2006","FQ4 2006","Currency=USD","Period=FQ","BEST_FPERIOD_OVERRIDE=FQ","FILING_STATUS=OR","SCALING_FORMAT=MLN","Sort=A","Dates=H","DateFormat=P","Fill=—","Direction=H","UseDPDF=Y")</f>
        <v>-4299</v>
      </c>
      <c r="AK14" s="13">
        <f>_xll.BDH("XOM US Equity","INC_DEC_IN_OT_OP_AST_LIAB_DETAIL","FQ1 2007","FQ1 2007","Currency=USD","Period=FQ","BEST_FPERIOD_OVERRIDE=FQ","FILING_STATUS=OR","SCALING_FORMAT=MLN","Sort=A","Dates=H","DateFormat=P","Fill=—","Direction=H","UseDPDF=Y")</f>
        <v>1843</v>
      </c>
      <c r="AL14" s="13">
        <f>_xll.BDH("XOM US Equity","INC_DEC_IN_OT_OP_AST_LIAB_DETAIL","FQ2 2007","FQ2 2007","Currency=USD","Period=FQ","BEST_FPERIOD_OVERRIDE=FQ","FILING_STATUS=OR","SCALING_FORMAT=MLN","Sort=A","Dates=H","DateFormat=P","Fill=—","Direction=H","UseDPDF=Y")</f>
        <v>-2209</v>
      </c>
      <c r="AM14" s="13">
        <f>_xll.BDH("XOM US Equity","INC_DEC_IN_OT_OP_AST_LIAB_DETAIL","FQ3 2007","FQ3 2007","Currency=USD","Period=FQ","BEST_FPERIOD_OVERRIDE=FQ","FILING_STATUS=OR","SCALING_FORMAT=MLN","Sort=A","Dates=H","DateFormat=P","Fill=—","Direction=H","UseDPDF=Y")</f>
        <v>1649</v>
      </c>
      <c r="AN14" s="13">
        <f>_xll.BDH("XOM US Equity","INC_DEC_IN_OT_OP_AST_LIAB_DETAIL","FQ4 2007","FQ4 2007","Currency=USD","Period=FQ","BEST_FPERIOD_OVERRIDE=FQ","FILING_STATUS=OR","SCALING_FORMAT=MLN","Sort=A","Dates=H","DateFormat=P","Fill=—","Direction=H","UseDPDF=Y")</f>
        <v>-144</v>
      </c>
      <c r="AO14" s="13">
        <f>_xll.BDH("XOM US Equity","INC_DEC_IN_OT_OP_AST_LIAB_DETAIL","FQ1 2008","FQ1 2008","Currency=USD","Period=FQ","BEST_FPERIOD_OVERRIDE=FQ","FILING_STATUS=OR","SCALING_FORMAT=MLN","Sort=A","Dates=H","DateFormat=P","Fill=—","Direction=H","UseDPDF=Y")</f>
        <v>7803</v>
      </c>
      <c r="AP14" s="13">
        <f>_xll.BDH("XOM US Equity","INC_DEC_IN_OT_OP_AST_LIAB_DETAIL","FQ2 2008","FQ2 2008","Currency=USD","Period=FQ","BEST_FPERIOD_OVERRIDE=FQ","FILING_STATUS=OR","SCALING_FORMAT=MLN","Sort=A","Dates=H","DateFormat=P","Fill=—","Direction=H","UseDPDF=Y")</f>
        <v>-517</v>
      </c>
    </row>
    <row r="15" spans="1:42" x14ac:dyDescent="0.25">
      <c r="A15" s="6" t="s">
        <v>285</v>
      </c>
      <c r="B15" s="6" t="s">
        <v>302</v>
      </c>
      <c r="C15" s="16">
        <f>_xll.BDH("XOM US Equity","CF_CASH_FROM_OPER","FQ3 1998","FQ3 1998","Currency=USD","Period=FQ","BEST_FPERIOD_OVERRIDE=FQ","FILING_STATUS=OR","SCALING_FORMAT=MLN","Sort=A","Dates=H","DateFormat=P","Fill=—","Direction=H","UseDPDF=Y")</f>
        <v>3607</v>
      </c>
      <c r="D15" s="16">
        <f>_xll.BDH("XOM US Equity","CF_CASH_FROM_OPER","FQ4 1998","FQ4 1998","Currency=USD","Period=FQ","BEST_FPERIOD_OVERRIDE=FQ","FILING_STATUS=OR","SCALING_FORMAT=MLN","Sort=A","Dates=H","DateFormat=P","Fill=—","Direction=H","UseDPDF=Y")</f>
        <v>7084</v>
      </c>
      <c r="E15" s="16">
        <f>_xll.BDH("XOM US Equity","CF_CASH_FROM_OPER","FQ1 1999","FQ1 1999","Currency=USD","Period=FQ","BEST_FPERIOD_OVERRIDE=FQ","FILING_STATUS=OR","SCALING_FORMAT=MLN","Sort=A","Dates=H","DateFormat=P","Fill=—","Direction=H","UseDPDF=Y")</f>
        <v>2752</v>
      </c>
      <c r="F15" s="16">
        <f>_xll.BDH("XOM US Equity","CF_CASH_FROM_OPER","FQ2 1999","FQ2 1999","Currency=USD","Period=FQ","BEST_FPERIOD_OVERRIDE=FQ","FILING_STATUS=OR","SCALING_FORMAT=MLN","Sort=A","Dates=H","DateFormat=P","Fill=—","Direction=H","UseDPDF=Y")</f>
        <v>2288</v>
      </c>
      <c r="G15" s="16">
        <f>_xll.BDH("XOM US Equity","CF_CASH_FROM_OPER","FQ3 1999","FQ3 1999","Currency=USD","Period=FQ","BEST_FPERIOD_OVERRIDE=FQ","FILING_STATUS=OR","SCALING_FORMAT=MLN","Sort=A","Dates=H","DateFormat=P","Fill=—","Direction=H","UseDPDF=Y")</f>
        <v>2817</v>
      </c>
      <c r="H15" s="16">
        <f>_xll.BDH("XOM US Equity","CF_CASH_FROM_OPER","FQ4 1999","FQ4 1999","Currency=USD","Period=FQ","BEST_FPERIOD_OVERRIDE=FQ","FILING_STATUS=OR","SCALING_FORMAT=MLN","Sort=A","Dates=H","DateFormat=P","Fill=—","Direction=H","UseDPDF=Y")</f>
        <v>7156</v>
      </c>
      <c r="I15" s="16">
        <f>_xll.BDH("XOM US Equity","CF_CASH_FROM_OPER","FQ1 2000","FQ1 2000","Currency=USD","Period=FQ","BEST_FPERIOD_OVERRIDE=FQ","FILING_STATUS=OR","SCALING_FORMAT=MLN","Sort=A","Dates=H","DateFormat=P","Fill=—","Direction=H","UseDPDF=Y")</f>
        <v>5490</v>
      </c>
      <c r="J15" s="16">
        <f>_xll.BDH("XOM US Equity","CF_CASH_FROM_OPER","FQ2 2000","FQ2 2000","Currency=USD","Period=FQ","BEST_FPERIOD_OVERRIDE=FQ","FILING_STATUS=OR","SCALING_FORMAT=MLN","Sort=A","Dates=H","DateFormat=P","Fill=—","Direction=H","UseDPDF=Y")</f>
        <v>5964</v>
      </c>
      <c r="K15" s="16">
        <f>_xll.BDH("XOM US Equity","CF_CASH_FROM_OPER","FQ3 2000","FQ3 2000","Currency=USD","Period=FQ","BEST_FPERIOD_OVERRIDE=FQ","FILING_STATUS=OR","SCALING_FORMAT=MLN","Sort=A","Dates=H","DateFormat=P","Fill=—","Direction=H","UseDPDF=Y")</f>
        <v>5408</v>
      </c>
      <c r="L15" s="16">
        <f>_xll.BDH("XOM US Equity","CF_CASH_FROM_OPER","FQ4 2000","FQ4 2000","Currency=USD","Period=FQ","BEST_FPERIOD_OVERRIDE=FQ","FILING_STATUS=OR","SCALING_FORMAT=MLN","Sort=A","Dates=H","DateFormat=P","Fill=—","Direction=H","UseDPDF=Y")</f>
        <v>6075</v>
      </c>
      <c r="M15" s="16">
        <f>_xll.BDH("XOM US Equity","CF_CASH_FROM_OPER","FQ1 2001","FQ1 2001","Currency=USD","Period=FQ","BEST_FPERIOD_OVERRIDE=FQ","FILING_STATUS=OR","SCALING_FORMAT=MLN","Sort=A","Dates=H","DateFormat=P","Fill=—","Direction=H","UseDPDF=Y")</f>
        <v>8729</v>
      </c>
      <c r="N15" s="16">
        <f>_xll.BDH("XOM US Equity","CF_CASH_FROM_OPER","FQ2 2001","FQ2 2001","Currency=USD","Period=FQ","BEST_FPERIOD_OVERRIDE=FQ","FILING_STATUS=OR","SCALING_FORMAT=MLN","Sort=A","Dates=H","DateFormat=P","Fill=—","Direction=H","UseDPDF=Y")</f>
        <v>5515</v>
      </c>
      <c r="O15" s="16">
        <f>_xll.BDH("XOM US Equity","CF_CASH_FROM_OPER","FQ3 2001","FQ3 2001","Currency=USD","Period=FQ","BEST_FPERIOD_OVERRIDE=FQ","FILING_STATUS=OR","SCALING_FORMAT=MLN","Sort=A","Dates=H","DateFormat=P","Fill=—","Direction=H","UseDPDF=Y")</f>
        <v>5255</v>
      </c>
      <c r="P15" s="16">
        <f>_xll.BDH("XOM US Equity","CF_CASH_FROM_OPER","FQ4 2001","FQ4 2001","Currency=USD","Period=FQ","BEST_FPERIOD_OVERRIDE=FQ","FILING_STATUS=OR","SCALING_FORMAT=MLN","Sort=A","Dates=H","DateFormat=P","Fill=—","Direction=H","UseDPDF=Y")</f>
        <v>3390</v>
      </c>
      <c r="Q15" s="16">
        <f>_xll.BDH("XOM US Equity","CF_CASH_FROM_OPER","FQ1 2002","FQ1 2002","Currency=USD","Period=FQ","BEST_FPERIOD_OVERRIDE=FQ","FILING_STATUS=OR","SCALING_FORMAT=MLN","Sort=A","Dates=H","DateFormat=P","Fill=—","Direction=H","UseDPDF=Y")</f>
        <v>4624</v>
      </c>
      <c r="R15" s="16">
        <f>_xll.BDH("XOM US Equity","CF_CASH_FROM_OPER","FQ2 2002","FQ2 2002","Currency=USD","Period=FQ","BEST_FPERIOD_OVERRIDE=FQ","FILING_STATUS=OR","SCALING_FORMAT=MLN","Sort=A","Dates=H","DateFormat=P","Fill=—","Direction=H","UseDPDF=Y")</f>
        <v>4116</v>
      </c>
      <c r="S15" s="16">
        <f>_xll.BDH("XOM US Equity","CF_CASH_FROM_OPER","FQ3 2002","FQ3 2002","Currency=USD","Period=FQ","BEST_FPERIOD_OVERRIDE=FQ","FILING_STATUS=OR","SCALING_FORMAT=MLN","Sort=A","Dates=H","DateFormat=P","Fill=—","Direction=H","UseDPDF=Y")</f>
        <v>7449</v>
      </c>
      <c r="T15" s="16">
        <f>_xll.BDH("XOM US Equity","CF_CASH_FROM_OPER","FQ4 2002","FQ4 2002","Currency=USD","Period=FQ","BEST_FPERIOD_OVERRIDE=FQ","FILING_STATUS=OR","SCALING_FORMAT=MLN","Sort=A","Dates=H","DateFormat=P","Fill=—","Direction=H","UseDPDF=Y")</f>
        <v>5079</v>
      </c>
      <c r="U15" s="16">
        <f>_xll.BDH("XOM US Equity","CF_CASH_FROM_OPER","FQ1 2003","FQ1 2003","Currency=USD","Period=FQ","BEST_FPERIOD_OVERRIDE=FQ","FILING_STATUS=OR","SCALING_FORMAT=MLN","Sort=A","Dates=H","DateFormat=P","Fill=—","Direction=H","UseDPDF=Y")</f>
        <v>8646</v>
      </c>
      <c r="V15" s="16">
        <f>_xll.BDH("XOM US Equity","CF_CASH_FROM_OPER","FQ2 2003","FQ2 2003","Currency=USD","Period=FQ","BEST_FPERIOD_OVERRIDE=FQ","FILING_STATUS=OR","SCALING_FORMAT=MLN","Sort=A","Dates=H","DateFormat=P","Fill=—","Direction=H","UseDPDF=Y")</f>
        <v>7349</v>
      </c>
      <c r="W15" s="16">
        <f>_xll.BDH("XOM US Equity","CF_CASH_FROM_OPER","FQ3 2003","FQ3 2003","Currency=USD","Period=FQ","BEST_FPERIOD_OVERRIDE=FQ","FILING_STATUS=OR","SCALING_FORMAT=MLN","Sort=A","Dates=H","DateFormat=P","Fill=—","Direction=H","UseDPDF=Y")</f>
        <v>5704</v>
      </c>
      <c r="X15" s="16">
        <f>_xll.BDH("XOM US Equity","CF_CASH_FROM_OPER","FQ4 2003","FQ4 2003","Currency=USD","Period=FQ","BEST_FPERIOD_OVERRIDE=FQ","FILING_STATUS=OR","SCALING_FORMAT=MLN","Sort=A","Dates=H","DateFormat=P","Fill=—","Direction=H","UseDPDF=Y")</f>
        <v>6799</v>
      </c>
      <c r="Y15" s="16">
        <f>_xll.BDH("XOM US Equity","CF_CASH_FROM_OPER","FQ1 2004","FQ1 2004","Currency=USD","Period=FQ","BEST_FPERIOD_OVERRIDE=FQ","FILING_STATUS=OR","SCALING_FORMAT=MLN","Sort=A","Dates=H","DateFormat=P","Fill=—","Direction=H","UseDPDF=Y")</f>
        <v>10138</v>
      </c>
      <c r="Z15" s="16">
        <f>_xll.BDH("XOM US Equity","CF_CASH_FROM_OPER","FQ2 2004","FQ2 2004","Currency=USD","Period=FQ","BEST_FPERIOD_OVERRIDE=FQ","FILING_STATUS=OR","SCALING_FORMAT=MLN","Sort=A","Dates=H","DateFormat=P","Fill=—","Direction=H","UseDPDF=Y")</f>
        <v>8652</v>
      </c>
      <c r="AA15" s="16">
        <f>_xll.BDH("XOM US Equity","CF_CASH_FROM_OPER","FQ3 2004","FQ3 2004","Currency=USD","Period=FQ","BEST_FPERIOD_OVERRIDE=FQ","FILING_STATUS=OR","SCALING_FORMAT=MLN","Sort=A","Dates=H","DateFormat=P","Fill=—","Direction=H","UseDPDF=Y")</f>
        <v>9453</v>
      </c>
      <c r="AB15" s="16">
        <f>_xll.BDH("XOM US Equity","CF_CASH_FROM_OPER","FQ4 2004","FQ4 2004","Currency=USD","Period=FQ","BEST_FPERIOD_OVERRIDE=FQ","FILING_STATUS=OR","SCALING_FORMAT=MLN","Sort=A","Dates=H","DateFormat=P","Fill=—","Direction=H","UseDPDF=Y")</f>
        <v>12308</v>
      </c>
      <c r="AC15" s="16">
        <f>_xll.BDH("XOM US Equity","CF_CASH_FROM_OPER","FQ1 2005","FQ1 2005","Currency=USD","Period=FQ","BEST_FPERIOD_OVERRIDE=FQ","FILING_STATUS=OR","SCALING_FORMAT=MLN","Sort=A","Dates=H","DateFormat=P","Fill=—","Direction=H","UseDPDF=Y")</f>
        <v>12968</v>
      </c>
      <c r="AD15" s="16">
        <f>_xll.BDH("XOM US Equity","CF_CASH_FROM_OPER","FQ2 2005","FQ2 2005","Currency=USD","Period=FQ","BEST_FPERIOD_OVERRIDE=FQ","FILING_STATUS=OR","SCALING_FORMAT=MLN","Sort=A","Dates=H","DateFormat=P","Fill=—","Direction=H","UseDPDF=Y")</f>
        <v>9013</v>
      </c>
      <c r="AE15" s="16">
        <f>_xll.BDH("XOM US Equity","CF_CASH_FROM_OPER","FQ3 2005","FQ3 2005","Currency=USD","Period=FQ","BEST_FPERIOD_OVERRIDE=FQ","FILING_STATUS=OR","SCALING_FORMAT=MLN","Sort=A","Dates=H","DateFormat=P","Fill=—","Direction=H","UseDPDF=Y")</f>
        <v>15767</v>
      </c>
      <c r="AF15" s="16">
        <f>_xll.BDH("XOM US Equity","CF_CASH_FROM_OPER","FQ4 2005","FQ4 2005","Currency=USD","Period=FQ","BEST_FPERIOD_OVERRIDE=FQ","FILING_STATUS=OR","SCALING_FORMAT=MLN","Sort=A","Dates=H","DateFormat=P","Fill=—","Direction=H","UseDPDF=Y")</f>
        <v>10390</v>
      </c>
      <c r="AG15" s="16">
        <f>_xll.BDH("XOM US Equity","CF_CASH_FROM_OPER","FQ1 2006","FQ1 2006","Currency=USD","Period=FQ","BEST_FPERIOD_OVERRIDE=FQ","FILING_STATUS=OR","SCALING_FORMAT=MLN","Sort=A","Dates=H","DateFormat=P","Fill=—","Direction=H","UseDPDF=Y")</f>
        <v>14631</v>
      </c>
      <c r="AH15" s="16">
        <f>_xll.BDH("XOM US Equity","CF_CASH_FROM_OPER","FQ2 2006","FQ2 2006","Currency=USD","Period=FQ","BEST_FPERIOD_OVERRIDE=FQ","FILING_STATUS=OR","SCALING_FORMAT=MLN","Sort=A","Dates=H","DateFormat=P","Fill=—","Direction=H","UseDPDF=Y")</f>
        <v>11296</v>
      </c>
      <c r="AI15" s="16">
        <f>_xll.BDH("XOM US Equity","CF_CASH_FROM_OPER","FQ3 2006","FQ3 2006","Currency=USD","Period=FQ","BEST_FPERIOD_OVERRIDE=FQ","FILING_STATUS=OR","SCALING_FORMAT=MLN","Sort=A","Dates=H","DateFormat=P","Fill=—","Direction=H","UseDPDF=Y")</f>
        <v>14497</v>
      </c>
      <c r="AJ15" s="16">
        <f>_xll.BDH("XOM US Equity","CF_CASH_FROM_OPER","FQ4 2006","FQ4 2006","Currency=USD","Period=FQ","BEST_FPERIOD_OVERRIDE=FQ","FILING_STATUS=OR","SCALING_FORMAT=MLN","Sort=A","Dates=H","DateFormat=P","Fill=—","Direction=H","UseDPDF=Y")</f>
        <v>8862</v>
      </c>
      <c r="AK15" s="16">
        <f>_xll.BDH("XOM US Equity","CF_CASH_FROM_OPER","FQ1 2007","FQ1 2007","Currency=USD","Period=FQ","BEST_FPERIOD_OVERRIDE=FQ","FILING_STATUS=OR","SCALING_FORMAT=MLN","Sort=A","Dates=H","DateFormat=P","Fill=—","Direction=H","UseDPDF=Y")</f>
        <v>14286</v>
      </c>
      <c r="AL15" s="16">
        <f>_xll.BDH("XOM US Equity","CF_CASH_FROM_OPER","FQ2 2007","FQ2 2007","Currency=USD","Period=FQ","BEST_FPERIOD_OVERRIDE=FQ","FILING_STATUS=OR","SCALING_FORMAT=MLN","Sort=A","Dates=H","DateFormat=P","Fill=—","Direction=H","UseDPDF=Y")</f>
        <v>11318</v>
      </c>
      <c r="AM15" s="16">
        <f>_xll.BDH("XOM US Equity","CF_CASH_FROM_OPER","FQ3 2007","FQ3 2007","Currency=USD","Period=FQ","BEST_FPERIOD_OVERRIDE=FQ","FILING_STATUS=OR","SCALING_FORMAT=MLN","Sort=A","Dates=H","DateFormat=P","Fill=—","Direction=H","UseDPDF=Y")</f>
        <v>15063</v>
      </c>
      <c r="AN15" s="16">
        <f>_xll.BDH("XOM US Equity","CF_CASH_FROM_OPER","FQ4 2007","FQ4 2007","Currency=USD","Period=FQ","BEST_FPERIOD_OVERRIDE=FQ","FILING_STATUS=OR","SCALING_FORMAT=MLN","Sort=A","Dates=H","DateFormat=P","Fill=—","Direction=H","UseDPDF=Y")</f>
        <v>11335</v>
      </c>
      <c r="AO15" s="16">
        <f>_xll.BDH("XOM US Equity","CF_CASH_FROM_OPER","FQ1 2008","FQ1 2008","Currency=USD","Period=FQ","BEST_FPERIOD_OVERRIDE=FQ","FILING_STATUS=OR","SCALING_FORMAT=MLN","Sort=A","Dates=H","DateFormat=P","Fill=—","Direction=H","UseDPDF=Y")</f>
        <v>21420</v>
      </c>
      <c r="AP15" s="16">
        <f>_xll.BDH("XOM US Equity","CF_CASH_FROM_OPER","FQ2 2008","FQ2 2008","Currency=USD","Period=FQ","BEST_FPERIOD_OVERRIDE=FQ","FILING_STATUS=OR","SCALING_FORMAT=MLN","Sort=A","Dates=H","DateFormat=P","Fill=—","Direction=H","UseDPDF=Y")</f>
        <v>13418</v>
      </c>
    </row>
    <row r="16" spans="1:42" x14ac:dyDescent="0.25">
      <c r="A16" s="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 x14ac:dyDescent="0.25">
      <c r="A17" s="6" t="s">
        <v>303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</row>
    <row r="18" spans="1:42" x14ac:dyDescent="0.25">
      <c r="A18" s="10" t="s">
        <v>304</v>
      </c>
      <c r="B18" s="10" t="s">
        <v>305</v>
      </c>
      <c r="C18" s="13">
        <f>_xll.BDH("XOM US Equity","CHG_IN_FXD_&amp;_INTANG_AST_DETAILED","FQ3 1998","FQ3 1998","Currency=USD","Period=FQ","BEST_FPERIOD_OVERRIDE=FQ","FILING_STATUS=OR","SCALING_FORMAT=MLN","Sort=A","Dates=H","DateFormat=P","Fill=—","Direction=H","UseDPDF=Y")</f>
        <v>-2161</v>
      </c>
      <c r="D18" s="13">
        <f>_xll.BDH("XOM US Equity","CHG_IN_FXD_&amp;_INTANG_AST_DETAILED","FQ4 1998","FQ4 1998","Currency=USD","Period=FQ","BEST_FPERIOD_OVERRIDE=FQ","FILING_STATUS=OR","SCALING_FORMAT=MLN","Sort=A","Dates=H","DateFormat=P","Fill=—","Direction=H","UseDPDF=Y")</f>
        <v>-6895</v>
      </c>
      <c r="E18" s="13">
        <f>_xll.BDH("XOM US Equity","CHG_IN_FXD_&amp;_INTANG_AST_DETAILED","FQ1 1999","FQ1 1999","Currency=USD","Period=FQ","BEST_FPERIOD_OVERRIDE=FQ","FILING_STATUS=OR","SCALING_FORMAT=MLN","Sort=A","Dates=H","DateFormat=P","Fill=—","Direction=H","UseDPDF=Y")</f>
        <v>-1632</v>
      </c>
      <c r="F18" s="13">
        <f>_xll.BDH("XOM US Equity","CHG_IN_FXD_&amp;_INTANG_AST_DETAILED","FQ2 1999","FQ2 1999","Currency=USD","Period=FQ","BEST_FPERIOD_OVERRIDE=FQ","FILING_STATUS=OR","SCALING_FORMAT=MLN","Sort=A","Dates=H","DateFormat=P","Fill=—","Direction=H","UseDPDF=Y")</f>
        <v>-2009</v>
      </c>
      <c r="G18" s="13">
        <f>_xll.BDH("XOM US Equity","CHG_IN_FXD_&amp;_INTANG_AST_DETAILED","FQ3 1999","FQ3 1999","Currency=USD","Period=FQ","BEST_FPERIOD_OVERRIDE=FQ","FILING_STATUS=OR","SCALING_FORMAT=MLN","Sort=A","Dates=H","DateFormat=P","Fill=—","Direction=H","UseDPDF=Y")</f>
        <v>-1638</v>
      </c>
      <c r="H18" s="13">
        <f>_xll.BDH("XOM US Equity","CHG_IN_FXD_&amp;_INTANG_AST_DETAILED","FQ4 1999","FQ4 1999","Currency=USD","Period=FQ","BEST_FPERIOD_OVERRIDE=FQ","FILING_STATUS=OR","SCALING_FORMAT=MLN","Sort=A","Dates=H","DateFormat=P","Fill=—","Direction=H","UseDPDF=Y")</f>
        <v>-4716</v>
      </c>
      <c r="I18" s="13">
        <f>_xll.BDH("XOM US Equity","CHG_IN_FXD_&amp;_INTANG_AST_DETAILED","FQ1 2000","FQ1 2000","Currency=USD","Period=FQ","BEST_FPERIOD_OVERRIDE=FQ","FILING_STATUS=OR","SCALING_FORMAT=MLN","Sort=A","Dates=H","DateFormat=P","Fill=—","Direction=H","UseDPDF=Y")</f>
        <v>213</v>
      </c>
      <c r="J18" s="13">
        <f>_xll.BDH("XOM US Equity","CHG_IN_FXD_&amp;_INTANG_AST_DETAILED","FQ2 2000","FQ2 2000","Currency=USD","Period=FQ","BEST_FPERIOD_OVERRIDE=FQ","FILING_STATUS=OR","SCALING_FORMAT=MLN","Sort=A","Dates=H","DateFormat=P","Fill=—","Direction=H","UseDPDF=Y")</f>
        <v>-805</v>
      </c>
      <c r="K18" s="13">
        <f>_xll.BDH("XOM US Equity","CHG_IN_FXD_&amp;_INTANG_AST_DETAILED","FQ3 2000","FQ3 2000","Currency=USD","Period=FQ","BEST_FPERIOD_OVERRIDE=FQ","FILING_STATUS=OR","SCALING_FORMAT=MLN","Sort=A","Dates=H","DateFormat=P","Fill=—","Direction=H","UseDPDF=Y")</f>
        <v>-1530</v>
      </c>
      <c r="L18" s="13">
        <f>_xll.BDH("XOM US Equity","CHG_IN_FXD_&amp;_INTANG_AST_DETAILED","FQ4 2000","FQ4 2000","Currency=USD","Period=FQ","BEST_FPERIOD_OVERRIDE=FQ","FILING_STATUS=OR","SCALING_FORMAT=MLN","Sort=A","Dates=H","DateFormat=P","Fill=—","Direction=H","UseDPDF=Y")</f>
        <v>-554</v>
      </c>
      <c r="M18" s="13">
        <f>_xll.BDH("XOM US Equity","CHG_IN_FXD_&amp;_INTANG_AST_DETAILED","FQ1 2001","FQ1 2001","Currency=USD","Period=FQ","BEST_FPERIOD_OVERRIDE=FQ","FILING_STATUS=OR","SCALING_FORMAT=MLN","Sort=A","Dates=H","DateFormat=P","Fill=—","Direction=H","UseDPDF=Y")</f>
        <v>-1741</v>
      </c>
      <c r="N18" s="13">
        <f>_xll.BDH("XOM US Equity","CHG_IN_FXD_&amp;_INTANG_AST_DETAILED","FQ2 2001","FQ2 2001","Currency=USD","Period=FQ","BEST_FPERIOD_OVERRIDE=FQ","FILING_STATUS=OR","SCALING_FORMAT=MLN","Sort=A","Dates=H","DateFormat=P","Fill=—","Direction=H","UseDPDF=Y")</f>
        <v>-1884</v>
      </c>
      <c r="O18" s="13">
        <f>_xll.BDH("XOM US Equity","CHG_IN_FXD_&amp;_INTANG_AST_DETAILED","FQ3 2001","FQ3 2001","Currency=USD","Period=FQ","BEST_FPERIOD_OVERRIDE=FQ","FILING_STATUS=OR","SCALING_FORMAT=MLN","Sort=A","Dates=H","DateFormat=P","Fill=—","Direction=H","UseDPDF=Y")</f>
        <v>-2350</v>
      </c>
      <c r="P18" s="13">
        <f>_xll.BDH("XOM US Equity","CHG_IN_FXD_&amp;_INTANG_AST_DETAILED","FQ4 2001","FQ4 2001","Currency=USD","Period=FQ","BEST_FPERIOD_OVERRIDE=FQ","FILING_STATUS=OR","SCALING_FORMAT=MLN","Sort=A","Dates=H","DateFormat=P","Fill=—","Direction=H","UseDPDF=Y")</f>
        <v>-2936</v>
      </c>
      <c r="Q18" s="13">
        <f>_xll.BDH("XOM US Equity","CHG_IN_FXD_&amp;_INTANG_AST_DETAILED","FQ1 2002","FQ1 2002","Currency=USD","Period=FQ","BEST_FPERIOD_OVERRIDE=FQ","FILING_STATUS=OR","SCALING_FORMAT=MLN","Sort=A","Dates=H","DateFormat=P","Fill=—","Direction=H","UseDPDF=Y")</f>
        <v>-1658</v>
      </c>
      <c r="R18" s="13">
        <f>_xll.BDH("XOM US Equity","CHG_IN_FXD_&amp;_INTANG_AST_DETAILED","FQ2 2002","FQ2 2002","Currency=USD","Period=FQ","BEST_FPERIOD_OVERRIDE=FQ","FILING_STATUS=OR","SCALING_FORMAT=MLN","Sort=A","Dates=H","DateFormat=P","Fill=—","Direction=H","UseDPDF=Y")</f>
        <v>-2727</v>
      </c>
      <c r="S18" s="13">
        <f>_xll.BDH("XOM US Equity","CHG_IN_FXD_&amp;_INTANG_AST_DETAILED","FQ3 2002","FQ3 2002","Currency=USD","Period=FQ","BEST_FPERIOD_OVERRIDE=FQ","FILING_STATUS=OR","SCALING_FORMAT=MLN","Sort=A","Dates=H","DateFormat=P","Fill=—","Direction=H","UseDPDF=Y")</f>
        <v>-2703</v>
      </c>
      <c r="T18" s="13">
        <f>_xll.BDH("XOM US Equity","CHG_IN_FXD_&amp;_INTANG_AST_DETAILED","FQ4 2002","FQ4 2002","Currency=USD","Period=FQ","BEST_FPERIOD_OVERRIDE=FQ","FILING_STATUS=OR","SCALING_FORMAT=MLN","Sort=A","Dates=H","DateFormat=P","Fill=—","Direction=H","UseDPDF=Y")</f>
        <v>-1556</v>
      </c>
      <c r="U18" s="13">
        <f>_xll.BDH("XOM US Equity","CHG_IN_FXD_&amp;_INTANG_AST_DETAILED","FQ1 2003","FQ1 2003","Currency=USD","Period=FQ","BEST_FPERIOD_OVERRIDE=FQ","FILING_STATUS=OR","SCALING_FORMAT=MLN","Sort=A","Dates=H","DateFormat=P","Fill=—","Direction=H","UseDPDF=Y")</f>
        <v>-1605</v>
      </c>
      <c r="V18" s="13">
        <f>_xll.BDH("XOM US Equity","CHG_IN_FXD_&amp;_INTANG_AST_DETAILED","FQ2 2003","FQ2 2003","Currency=USD","Period=FQ","BEST_FPERIOD_OVERRIDE=FQ","FILING_STATUS=OR","SCALING_FORMAT=MLN","Sort=A","Dates=H","DateFormat=P","Fill=—","Direction=H","UseDPDF=Y")</f>
        <v>-3046</v>
      </c>
      <c r="W18" s="13">
        <f>_xll.BDH("XOM US Equity","CHG_IN_FXD_&amp;_INTANG_AST_DETAILED","FQ3 2003","FQ3 2003","Currency=USD","Period=FQ","BEST_FPERIOD_OVERRIDE=FQ","FILING_STATUS=OR","SCALING_FORMAT=MLN","Sort=A","Dates=H","DateFormat=P","Fill=—","Direction=H","UseDPDF=Y")</f>
        <v>-2833</v>
      </c>
      <c r="X18" s="13">
        <f>_xll.BDH("XOM US Equity","CHG_IN_FXD_&amp;_INTANG_AST_DETAILED","FQ4 2003","FQ4 2003","Currency=USD","Period=FQ","BEST_FPERIOD_OVERRIDE=FQ","FILING_STATUS=OR","SCALING_FORMAT=MLN","Sort=A","Dates=H","DateFormat=P","Fill=—","Direction=H","UseDPDF=Y")</f>
        <v>-3085</v>
      </c>
      <c r="Y18" s="13">
        <f>_xll.BDH("XOM US Equity","CHG_IN_FXD_&amp;_INTANG_AST_DETAILED","FQ1 2004","FQ1 2004","Currency=USD","Period=FQ","BEST_FPERIOD_OVERRIDE=FQ","FILING_STATUS=OR","SCALING_FORMAT=MLN","Sort=A","Dates=H","DateFormat=P","Fill=—","Direction=H","UseDPDF=Y")</f>
        <v>-2356</v>
      </c>
      <c r="Z18" s="13">
        <f>_xll.BDH("XOM US Equity","CHG_IN_FXD_&amp;_INTANG_AST_DETAILED","FQ2 2004","FQ2 2004","Currency=USD","Period=FQ","BEST_FPERIOD_OVERRIDE=FQ","FILING_STATUS=OR","SCALING_FORMAT=MLN","Sort=A","Dates=H","DateFormat=P","Fill=—","Direction=H","UseDPDF=Y")</f>
        <v>-2004</v>
      </c>
      <c r="AA18" s="13">
        <f>_xll.BDH("XOM US Equity","CHG_IN_FXD_&amp;_INTANG_AST_DETAILED","FQ3 2004","FQ3 2004","Currency=USD","Period=FQ","BEST_FPERIOD_OVERRIDE=FQ","FILING_STATUS=OR","SCALING_FORMAT=MLN","Sort=A","Dates=H","DateFormat=P","Fill=—","Direction=H","UseDPDF=Y")</f>
        <v>-2267</v>
      </c>
      <c r="AB18" s="13">
        <f>_xll.BDH("XOM US Equity","CHG_IN_FXD_&amp;_INTANG_AST_DETAILED","FQ4 2004","FQ4 2004","Currency=USD","Period=FQ","BEST_FPERIOD_OVERRIDE=FQ","FILING_STATUS=OR","SCALING_FORMAT=MLN","Sort=A","Dates=H","DateFormat=P","Fill=—","Direction=H","UseDPDF=Y")</f>
        <v>-2605</v>
      </c>
      <c r="AC18" s="13">
        <f>_xll.BDH("XOM US Equity","CHG_IN_FXD_&amp;_INTANG_AST_DETAILED","FQ1 2005","FQ1 2005","Currency=USD","Period=FQ","BEST_FPERIOD_OVERRIDE=FQ","FILING_STATUS=OR","SCALING_FORMAT=MLN","Sort=A","Dates=H","DateFormat=P","Fill=—","Direction=H","UseDPDF=Y")</f>
        <v>-916</v>
      </c>
      <c r="AD18" s="13">
        <f>_xll.BDH("XOM US Equity","CHG_IN_FXD_&amp;_INTANG_AST_DETAILED","FQ2 2005","FQ2 2005","Currency=USD","Period=FQ","BEST_FPERIOD_OVERRIDE=FQ","FILING_STATUS=OR","SCALING_FORMAT=MLN","Sort=A","Dates=H","DateFormat=P","Fill=—","Direction=H","UseDPDF=Y")</f>
        <v>-1706</v>
      </c>
      <c r="AE18" s="13">
        <f>_xll.BDH("XOM US Equity","CHG_IN_FXD_&amp;_INTANG_AST_DETAILED","FQ3 2005","FQ3 2005","Currency=USD","Period=FQ","BEST_FPERIOD_OVERRIDE=FQ","FILING_STATUS=OR","SCALING_FORMAT=MLN","Sort=A","Dates=H","DateFormat=P","Fill=—","Direction=H","UseDPDF=Y")</f>
        <v>-2738</v>
      </c>
      <c r="AF18" s="13">
        <f>_xll.BDH("XOM US Equity","CHG_IN_FXD_&amp;_INTANG_AST_DETAILED","FQ4 2005","FQ4 2005","Currency=USD","Period=FQ","BEST_FPERIOD_OVERRIDE=FQ","FILING_STATUS=OR","SCALING_FORMAT=MLN","Sort=A","Dates=H","DateFormat=P","Fill=—","Direction=H","UseDPDF=Y")</f>
        <v>-2443</v>
      </c>
      <c r="AG18" s="13">
        <f>_xll.BDH("XOM US Equity","CHG_IN_FXD_&amp;_INTANG_AST_DETAILED","FQ1 2006","FQ1 2006","Currency=USD","Period=FQ","BEST_FPERIOD_OVERRIDE=FQ","FILING_STATUS=OR","SCALING_FORMAT=MLN","Sort=A","Dates=H","DateFormat=P","Fill=—","Direction=H","UseDPDF=Y")</f>
        <v>-3336</v>
      </c>
      <c r="AH18" s="13">
        <f>_xll.BDH("XOM US Equity","CHG_IN_FXD_&amp;_INTANG_AST_DETAILED","FQ2 2006","FQ2 2006","Currency=USD","Period=FQ","BEST_FPERIOD_OVERRIDE=FQ","FILING_STATUS=OR","SCALING_FORMAT=MLN","Sort=A","Dates=H","DateFormat=P","Fill=—","Direction=H","UseDPDF=Y")</f>
        <v>-4250</v>
      </c>
      <c r="AI18" s="13">
        <f>_xll.BDH("XOM US Equity","CHG_IN_FXD_&amp;_INTANG_AST_DETAILED","FQ3 2006","FQ3 2006","Currency=USD","Period=FQ","BEST_FPERIOD_OVERRIDE=FQ","FILING_STATUS=OR","SCALING_FORMAT=MLN","Sort=A","Dates=H","DateFormat=P","Fill=—","Direction=H","UseDPDF=Y")</f>
        <v>-3715</v>
      </c>
      <c r="AJ18" s="13">
        <f>_xll.BDH("XOM US Equity","CHG_IN_FXD_&amp;_INTANG_AST_DETAILED","FQ4 2006","FQ4 2006","Currency=USD","Period=FQ","BEST_FPERIOD_OVERRIDE=FQ","FILING_STATUS=OR","SCALING_FORMAT=MLN","Sort=A","Dates=H","DateFormat=P","Fill=—","Direction=H","UseDPDF=Y")</f>
        <v>-1081</v>
      </c>
      <c r="AK18" s="13">
        <f>_xll.BDH("XOM US Equity","CHG_IN_FXD_&amp;_INTANG_AST_DETAILED","FQ1 2007","FQ1 2007","Currency=USD","Period=FQ","BEST_FPERIOD_OVERRIDE=FQ","FILING_STATUS=OR","SCALING_FORMAT=MLN","Sort=A","Dates=H","DateFormat=P","Fill=—","Direction=H","UseDPDF=Y")</f>
        <v>-2568</v>
      </c>
      <c r="AL18" s="13">
        <f>_xll.BDH("XOM US Equity","CHG_IN_FXD_&amp;_INTANG_AST_DETAILED","FQ2 2007","FQ2 2007","Currency=USD","Period=FQ","BEST_FPERIOD_OVERRIDE=FQ","FILING_STATUS=OR","SCALING_FORMAT=MLN","Sort=A","Dates=H","DateFormat=P","Fill=—","Direction=H","UseDPDF=Y")</f>
        <v>-2651</v>
      </c>
      <c r="AM18" s="13">
        <f>_xll.BDH("XOM US Equity","CHG_IN_FXD_&amp;_INTANG_AST_DETAILED","FQ3 2007","FQ3 2007","Currency=USD","Period=FQ","BEST_FPERIOD_OVERRIDE=FQ","FILING_STATUS=OR","SCALING_FORMAT=MLN","Sort=A","Dates=H","DateFormat=P","Fill=—","Direction=H","UseDPDF=Y")</f>
        <v>-3186</v>
      </c>
      <c r="AN18" s="13">
        <f>_xll.BDH("XOM US Equity","CHG_IN_FXD_&amp;_INTANG_AST_DETAILED","FQ4 2007","FQ4 2007","Currency=USD","Period=FQ","BEST_FPERIOD_OVERRIDE=FQ","FILING_STATUS=OR","SCALING_FORMAT=MLN","Sort=A","Dates=H","DateFormat=P","Fill=—","Direction=H","UseDPDF=Y")</f>
        <v>-2778</v>
      </c>
      <c r="AO18" s="13">
        <f>_xll.BDH("XOM US Equity","CHG_IN_FXD_&amp;_INTANG_AST_DETAILED","FQ1 2008","FQ1 2008","Currency=USD","Period=FQ","BEST_FPERIOD_OVERRIDE=FQ","FILING_STATUS=OR","SCALING_FORMAT=MLN","Sort=A","Dates=H","DateFormat=P","Fill=—","Direction=H","UseDPDF=Y")</f>
        <v>-3566</v>
      </c>
      <c r="AP18" s="13">
        <f>_xll.BDH("XOM US Equity","CHG_IN_FXD_&amp;_INTANG_AST_DETAILED","FQ2 2008","FQ2 2008","Currency=USD","Period=FQ","BEST_FPERIOD_OVERRIDE=FQ","FILING_STATUS=OR","SCALING_FORMAT=MLN","Sort=A","Dates=H","DateFormat=P","Fill=—","Direction=H","UseDPDF=Y")</f>
        <v>-3713</v>
      </c>
    </row>
    <row r="19" spans="1:42" x14ac:dyDescent="0.25">
      <c r="A19" s="10" t="s">
        <v>306</v>
      </c>
      <c r="B19" s="10" t="s">
        <v>307</v>
      </c>
      <c r="C19" s="13">
        <f>_xll.BDH("XOM US Equity","DISP_FXD_&amp;_INTANGIBLES_DETAILED","FQ3 1998","FQ3 1998","Currency=USD","Period=FQ","BEST_FPERIOD_OVERRIDE=FQ","FILING_STATUS=OR","SCALING_FORMAT=MLN","Sort=A","Dates=H","DateFormat=P","Fill=—","Direction=H","UseDPDF=Y")</f>
        <v>43</v>
      </c>
      <c r="D19" s="13">
        <f>_xll.BDH("XOM US Equity","DISP_FXD_&amp;_INTANGIBLES_DETAILED","FQ4 1998","FQ4 1998","Currency=USD","Period=FQ","BEST_FPERIOD_OVERRIDE=FQ","FILING_STATUS=OR","SCALING_FORMAT=MLN","Sort=A","Dates=H","DateFormat=P","Fill=—","Direction=H","UseDPDF=Y")</f>
        <v>0</v>
      </c>
      <c r="E19" s="13">
        <f>_xll.BDH("XOM US Equity","DISP_FXD_&amp;_INTANGIBLES_DETAILED","FQ1 1999","FQ1 1999","Currency=USD","Period=FQ","BEST_FPERIOD_OVERRIDE=FQ","FILING_STATUS=OR","SCALING_FORMAT=MLN","Sort=A","Dates=H","DateFormat=P","Fill=—","Direction=H","UseDPDF=Y")</f>
        <v>204</v>
      </c>
      <c r="F19" s="13">
        <f>_xll.BDH("XOM US Equity","DISP_FXD_&amp;_INTANGIBLES_DETAILED","FQ2 1999","FQ2 1999","Currency=USD","Period=FQ","BEST_FPERIOD_OVERRIDE=FQ","FILING_STATUS=OR","SCALING_FORMAT=MLN","Sort=A","Dates=H","DateFormat=P","Fill=—","Direction=H","UseDPDF=Y")</f>
        <v>237</v>
      </c>
      <c r="G19" s="13">
        <f>_xll.BDH("XOM US Equity","DISP_FXD_&amp;_INTANGIBLES_DETAILED","FQ3 1999","FQ3 1999","Currency=USD","Period=FQ","BEST_FPERIOD_OVERRIDE=FQ","FILING_STATUS=OR","SCALING_FORMAT=MLN","Sort=A","Dates=H","DateFormat=P","Fill=—","Direction=H","UseDPDF=Y")</f>
        <v>55</v>
      </c>
      <c r="H19" s="13">
        <f>_xll.BDH("XOM US Equity","DISP_FXD_&amp;_INTANGIBLES_DETAILED","FQ4 1999","FQ4 1999","Currency=USD","Period=FQ","BEST_FPERIOD_OVERRIDE=FQ","FILING_STATUS=OR","SCALING_FORMAT=MLN","Sort=A","Dates=H","DateFormat=P","Fill=—","Direction=H","UseDPDF=Y")</f>
        <v>358</v>
      </c>
      <c r="I19" s="13">
        <f>_xll.BDH("XOM US Equity","DISP_FXD_&amp;_INTANGIBLES_DETAILED","FQ1 2000","FQ1 2000","Currency=USD","Period=FQ","BEST_FPERIOD_OVERRIDE=FQ","FILING_STATUS=OR","SCALING_FORMAT=MLN","Sort=A","Dates=H","DateFormat=P","Fill=—","Direction=H","UseDPDF=Y")</f>
        <v>1982</v>
      </c>
      <c r="J19" s="13">
        <f>_xll.BDH("XOM US Equity","DISP_FXD_&amp;_INTANGIBLES_DETAILED","FQ2 2000","FQ2 2000","Currency=USD","Period=FQ","BEST_FPERIOD_OVERRIDE=FQ","FILING_STATUS=OR","SCALING_FORMAT=MLN","Sort=A","Dates=H","DateFormat=P","Fill=—","Direction=H","UseDPDF=Y")</f>
        <v>1227</v>
      </c>
      <c r="K19" s="13">
        <f>_xll.BDH("XOM US Equity","DISP_FXD_&amp;_INTANGIBLES_DETAILED","FQ3 2000","FQ3 2000","Currency=USD","Period=FQ","BEST_FPERIOD_OVERRIDE=FQ","FILING_STATUS=OR","SCALING_FORMAT=MLN","Sort=A","Dates=H","DateFormat=P","Fill=—","Direction=H","UseDPDF=Y")</f>
        <v>505</v>
      </c>
      <c r="L19" s="13">
        <f>_xll.BDH("XOM US Equity","DISP_FXD_&amp;_INTANGIBLES_DETAILED","FQ4 2000","FQ4 2000","Currency=USD","Period=FQ","BEST_FPERIOD_OVERRIDE=FQ","FILING_STATUS=OR","SCALING_FORMAT=MLN","Sort=A","Dates=H","DateFormat=P","Fill=—","Direction=H","UseDPDF=Y")</f>
        <v>2056</v>
      </c>
      <c r="M19" s="13">
        <f>_xll.BDH("XOM US Equity","DISP_FXD_&amp;_INTANGIBLES_DETAILED","FQ1 2001","FQ1 2001","Currency=USD","Period=FQ","BEST_FPERIOD_OVERRIDE=FQ","FILING_STATUS=OR","SCALING_FORMAT=MLN","Sort=A","Dates=H","DateFormat=P","Fill=—","Direction=H","UseDPDF=Y")</f>
        <v>287</v>
      </c>
      <c r="N19" s="13">
        <f>_xll.BDH("XOM US Equity","DISP_FXD_&amp;_INTANGIBLES_DETAILED","FQ2 2001","FQ2 2001","Currency=USD","Period=FQ","BEST_FPERIOD_OVERRIDE=FQ","FILING_STATUS=OR","SCALING_FORMAT=MLN","Sort=A","Dates=H","DateFormat=P","Fill=—","Direction=H","UseDPDF=Y")</f>
        <v>458</v>
      </c>
      <c r="O19" s="13">
        <f>_xll.BDH("XOM US Equity","DISP_FXD_&amp;_INTANGIBLES_DETAILED","FQ3 2001","FQ3 2001","Currency=USD","Period=FQ","BEST_FPERIOD_OVERRIDE=FQ","FILING_STATUS=OR","SCALING_FORMAT=MLN","Sort=A","Dates=H","DateFormat=P","Fill=—","Direction=H","UseDPDF=Y")</f>
        <v>143</v>
      </c>
      <c r="P19" s="13">
        <f>_xll.BDH("XOM US Equity","DISP_FXD_&amp;_INTANGIBLES_DETAILED","FQ4 2001","FQ4 2001","Currency=USD","Period=FQ","BEST_FPERIOD_OVERRIDE=FQ","FILING_STATUS=OR","SCALING_FORMAT=MLN","Sort=A","Dates=H","DateFormat=P","Fill=—","Direction=H","UseDPDF=Y")</f>
        <v>190</v>
      </c>
      <c r="Q19" s="13">
        <f>_xll.BDH("XOM US Equity","DISP_FXD_&amp;_INTANGIBLES_DETAILED","FQ1 2002","FQ1 2002","Currency=USD","Period=FQ","BEST_FPERIOD_OVERRIDE=FQ","FILING_STATUS=OR","SCALING_FORMAT=MLN","Sort=A","Dates=H","DateFormat=P","Fill=—","Direction=H","UseDPDF=Y")</f>
        <v>768</v>
      </c>
      <c r="R19" s="13">
        <f>_xll.BDH("XOM US Equity","DISP_FXD_&amp;_INTANGIBLES_DETAILED","FQ2 2002","FQ2 2002","Currency=USD","Period=FQ","BEST_FPERIOD_OVERRIDE=FQ","FILING_STATUS=OR","SCALING_FORMAT=MLN","Sort=A","Dates=H","DateFormat=P","Fill=—","Direction=H","UseDPDF=Y")</f>
        <v>110</v>
      </c>
      <c r="S19" s="13">
        <f>_xll.BDH("XOM US Equity","DISP_FXD_&amp;_INTANGIBLES_DETAILED","FQ3 2002","FQ3 2002","Currency=USD","Period=FQ","BEST_FPERIOD_OVERRIDE=FQ","FILING_STATUS=OR","SCALING_FORMAT=MLN","Sort=A","Dates=H","DateFormat=P","Fill=—","Direction=H","UseDPDF=Y")</f>
        <v>181</v>
      </c>
      <c r="T19" s="13">
        <f>_xll.BDH("XOM US Equity","DISP_FXD_&amp;_INTANGIBLES_DETAILED","FQ4 2002","FQ4 2002","Currency=USD","Period=FQ","BEST_FPERIOD_OVERRIDE=FQ","FILING_STATUS=OR","SCALING_FORMAT=MLN","Sort=A","Dates=H","DateFormat=P","Fill=—","Direction=H","UseDPDF=Y")</f>
        <v>1734</v>
      </c>
      <c r="U19" s="13">
        <f>_xll.BDH("XOM US Equity","DISP_FXD_&amp;_INTANGIBLES_DETAILED","FQ1 2003","FQ1 2003","Currency=USD","Period=FQ","BEST_FPERIOD_OVERRIDE=FQ","FILING_STATUS=OR","SCALING_FORMAT=MLN","Sort=A","Dates=H","DateFormat=P","Fill=—","Direction=H","UseDPDF=Y")</f>
        <v>1333</v>
      </c>
      <c r="V19" s="13">
        <f>_xll.BDH("XOM US Equity","DISP_FXD_&amp;_INTANGIBLES_DETAILED","FQ2 2003","FQ2 2003","Currency=USD","Period=FQ","BEST_FPERIOD_OVERRIDE=FQ","FILING_STATUS=OR","SCALING_FORMAT=MLN","Sort=A","Dates=H","DateFormat=P","Fill=—","Direction=H","UseDPDF=Y")</f>
        <v>248</v>
      </c>
      <c r="W19" s="13">
        <f>_xll.BDH("XOM US Equity","DISP_FXD_&amp;_INTANGIBLES_DETAILED","FQ3 2003","FQ3 2003","Currency=USD","Period=FQ","BEST_FPERIOD_OVERRIDE=FQ","FILING_STATUS=OR","SCALING_FORMAT=MLN","Sort=A","Dates=H","DateFormat=P","Fill=—","Direction=H","UseDPDF=Y")</f>
        <v>240</v>
      </c>
      <c r="X19" s="13">
        <f>_xll.BDH("XOM US Equity","DISP_FXD_&amp;_INTANGIBLES_DETAILED","FQ4 2003","FQ4 2003","Currency=USD","Period=FQ","BEST_FPERIOD_OVERRIDE=FQ","FILING_STATUS=OR","SCALING_FORMAT=MLN","Sort=A","Dates=H","DateFormat=P","Fill=—","Direction=H","UseDPDF=Y")</f>
        <v>469</v>
      </c>
      <c r="Y19" s="13">
        <f>_xll.BDH("XOM US Equity","DISP_FXD_&amp;_INTANGIBLES_DETAILED","FQ1 2004","FQ1 2004","Currency=USD","Period=FQ","BEST_FPERIOD_OVERRIDE=FQ","FILING_STATUS=OR","SCALING_FORMAT=MLN","Sort=A","Dates=H","DateFormat=P","Fill=—","Direction=H","UseDPDF=Y")</f>
        <v>454</v>
      </c>
      <c r="Z19" s="13">
        <f>_xll.BDH("XOM US Equity","DISP_FXD_&amp;_INTANGIBLES_DETAILED","FQ2 2004","FQ2 2004","Currency=USD","Period=FQ","BEST_FPERIOD_OVERRIDE=FQ","FILING_STATUS=OR","SCALING_FORMAT=MLN","Sort=A","Dates=H","DateFormat=P","Fill=—","Direction=H","UseDPDF=Y")</f>
        <v>928</v>
      </c>
      <c r="AA19" s="13">
        <f>_xll.BDH("XOM US Equity","DISP_FXD_&amp;_INTANGIBLES_DETAILED","FQ3 2004","FQ3 2004","Currency=USD","Period=FQ","BEST_FPERIOD_OVERRIDE=FQ","FILING_STATUS=OR","SCALING_FORMAT=MLN","Sort=A","Dates=H","DateFormat=P","Fill=—","Direction=H","UseDPDF=Y")</f>
        <v>570</v>
      </c>
      <c r="AB19" s="13">
        <f>_xll.BDH("XOM US Equity","DISP_FXD_&amp;_INTANGIBLES_DETAILED","FQ4 2004","FQ4 2004","Currency=USD","Period=FQ","BEST_FPERIOD_OVERRIDE=FQ","FILING_STATUS=OR","SCALING_FORMAT=MLN","Sort=A","Dates=H","DateFormat=P","Fill=—","Direction=H","UseDPDF=Y")</f>
        <v>802</v>
      </c>
      <c r="AC19" s="13">
        <f>_xll.BDH("XOM US Equity","DISP_FXD_&amp;_INTANGIBLES_DETAILED","FQ1 2005","FQ1 2005","Currency=USD","Period=FQ","BEST_FPERIOD_OVERRIDE=FQ","FILING_STATUS=OR","SCALING_FORMAT=MLN","Sort=A","Dates=H","DateFormat=P","Fill=—","Direction=H","UseDPDF=Y")</f>
        <v>1797</v>
      </c>
      <c r="AD19" s="13">
        <f>_xll.BDH("XOM US Equity","DISP_FXD_&amp;_INTANGIBLES_DETAILED","FQ2 2005","FQ2 2005","Currency=USD","Period=FQ","BEST_FPERIOD_OVERRIDE=FQ","FILING_STATUS=OR","SCALING_FORMAT=MLN","Sort=A","Dates=H","DateFormat=P","Fill=—","Direction=H","UseDPDF=Y")</f>
        <v>2029</v>
      </c>
      <c r="AE19" s="13">
        <f>_xll.BDH("XOM US Equity","DISP_FXD_&amp;_INTANGIBLES_DETAILED","FQ3 2005","FQ3 2005","Currency=USD","Period=FQ","BEST_FPERIOD_OVERRIDE=FQ","FILING_STATUS=OR","SCALING_FORMAT=MLN","Sort=A","Dates=H","DateFormat=P","Fill=—","Direction=H","UseDPDF=Y")</f>
        <v>754</v>
      </c>
      <c r="AF19" s="13">
        <f>_xll.BDH("XOM US Equity","DISP_FXD_&amp;_INTANGIBLES_DETAILED","FQ4 2005","FQ4 2005","Currency=USD","Period=FQ","BEST_FPERIOD_OVERRIDE=FQ","FILING_STATUS=OR","SCALING_FORMAT=MLN","Sort=A","Dates=H","DateFormat=P","Fill=—","Direction=H","UseDPDF=Y")</f>
        <v>1456</v>
      </c>
      <c r="AG19" s="13">
        <f>_xll.BDH("XOM US Equity","DISP_FXD_&amp;_INTANGIBLES_DETAILED","FQ1 2006","FQ1 2006","Currency=USD","Period=FQ","BEST_FPERIOD_OVERRIDE=FQ","FILING_STATUS=OR","SCALING_FORMAT=MLN","Sort=A","Dates=H","DateFormat=P","Fill=—","Direction=H","UseDPDF=Y")</f>
        <v>394</v>
      </c>
      <c r="AH19" s="13">
        <f>_xll.BDH("XOM US Equity","DISP_FXD_&amp;_INTANGIBLES_DETAILED","FQ2 2006","FQ2 2006","Currency=USD","Period=FQ","BEST_FPERIOD_OVERRIDE=FQ","FILING_STATUS=OR","SCALING_FORMAT=MLN","Sort=A","Dates=H","DateFormat=P","Fill=—","Direction=H","UseDPDF=Y")</f>
        <v>0</v>
      </c>
      <c r="AI19" s="13">
        <f>_xll.BDH("XOM US Equity","DISP_FXD_&amp;_INTANGIBLES_DETAILED","FQ3 2006","FQ3 2006","Currency=USD","Period=FQ","BEST_FPERIOD_OVERRIDE=FQ","FILING_STATUS=OR","SCALING_FORMAT=MLN","Sort=A","Dates=H","DateFormat=P","Fill=—","Direction=H","UseDPDF=Y")</f>
        <v>0</v>
      </c>
      <c r="AJ19" s="13">
        <f>_xll.BDH("XOM US Equity","DISP_FXD_&amp;_INTANGIBLES_DETAILED","FQ4 2006","FQ4 2006","Currency=USD","Period=FQ","BEST_FPERIOD_OVERRIDE=FQ","FILING_STATUS=OR","SCALING_FORMAT=MLN","Sort=A","Dates=H","DateFormat=P","Fill=—","Direction=H","UseDPDF=Y")</f>
        <v>2686</v>
      </c>
      <c r="AK19" s="13">
        <f>_xll.BDH("XOM US Equity","DISP_FXD_&amp;_INTANGIBLES_DETAILED","FQ1 2007","FQ1 2007","Currency=USD","Period=FQ","BEST_FPERIOD_OVERRIDE=FQ","FILING_STATUS=OR","SCALING_FORMAT=MLN","Sort=A","Dates=H","DateFormat=P","Fill=—","Direction=H","UseDPDF=Y")</f>
        <v>538</v>
      </c>
      <c r="AL19" s="13">
        <f>_xll.BDH("XOM US Equity","DISP_FXD_&amp;_INTANGIBLES_DETAILED","FQ2 2007","FQ2 2007","Currency=USD","Period=FQ","BEST_FPERIOD_OVERRIDE=FQ","FILING_STATUS=OR","SCALING_FORMAT=MLN","Sort=A","Dates=H","DateFormat=P","Fill=—","Direction=H","UseDPDF=Y")</f>
        <v>1135</v>
      </c>
      <c r="AM19" s="13">
        <f>_xll.BDH("XOM US Equity","DISP_FXD_&amp;_INTANGIBLES_DETAILED","FQ3 2007","FQ3 2007","Currency=USD","Period=FQ","BEST_FPERIOD_OVERRIDE=FQ","FILING_STATUS=OR","SCALING_FORMAT=MLN","Sort=A","Dates=H","DateFormat=P","Fill=—","Direction=H","UseDPDF=Y")</f>
        <v>749</v>
      </c>
      <c r="AN19" s="13">
        <f>_xll.BDH("XOM US Equity","DISP_FXD_&amp;_INTANGIBLES_DETAILED","FQ4 2007","FQ4 2007","Currency=USD","Period=FQ","BEST_FPERIOD_OVERRIDE=FQ","FILING_STATUS=OR","SCALING_FORMAT=MLN","Sort=A","Dates=H","DateFormat=P","Fill=—","Direction=H","UseDPDF=Y")</f>
        <v>1782</v>
      </c>
      <c r="AO19" s="13">
        <f>_xll.BDH("XOM US Equity","DISP_FXD_&amp;_INTANGIBLES_DETAILED","FQ1 2008","FQ1 2008","Currency=USD","Period=FQ","BEST_FPERIOD_OVERRIDE=FQ","FILING_STATUS=OR","SCALING_FORMAT=MLN","Sort=A","Dates=H","DateFormat=P","Fill=—","Direction=H","UseDPDF=Y")</f>
        <v>413</v>
      </c>
      <c r="AP19" s="13">
        <f>_xll.BDH("XOM US Equity","DISP_FXD_&amp;_INTANGIBLES_DETAILED","FQ2 2008","FQ2 2008","Currency=USD","Period=FQ","BEST_FPERIOD_OVERRIDE=FQ","FILING_STATUS=OR","SCALING_FORMAT=MLN","Sort=A","Dates=H","DateFormat=P","Fill=—","Direction=H","UseDPDF=Y")</f>
        <v>1159</v>
      </c>
    </row>
    <row r="20" spans="1:42" x14ac:dyDescent="0.25">
      <c r="A20" s="10" t="s">
        <v>308</v>
      </c>
      <c r="B20" s="10" t="s">
        <v>309</v>
      </c>
      <c r="C20" s="13">
        <f>_xll.BDH("XOM US Equity","ACQUIS_FXD_&amp;_INTANG_DETAILED","FQ3 1998","FQ3 1998","Currency=USD","Period=FQ","BEST_FPERIOD_OVERRIDE=FQ","FILING_STATUS=OR","SCALING_FORMAT=MLN","Sort=A","Dates=H","DateFormat=P","Fill=—","Direction=H","UseDPDF=Y")</f>
        <v>-2204</v>
      </c>
      <c r="D20" s="13">
        <f>_xll.BDH("XOM US Equity","ACQUIS_FXD_&amp;_INTANG_DETAILED","FQ4 1998","FQ4 1998","Currency=USD","Period=FQ","BEST_FPERIOD_OVERRIDE=FQ","FILING_STATUS=OR","SCALING_FORMAT=MLN","Sort=A","Dates=H","DateFormat=P","Fill=—","Direction=H","UseDPDF=Y")</f>
        <v>-6895</v>
      </c>
      <c r="E20" s="13">
        <f>_xll.BDH("XOM US Equity","ACQUIS_FXD_&amp;_INTANG_DETAILED","FQ1 1999","FQ1 1999","Currency=USD","Period=FQ","BEST_FPERIOD_OVERRIDE=FQ","FILING_STATUS=OR","SCALING_FORMAT=MLN","Sort=A","Dates=H","DateFormat=P","Fill=—","Direction=H","UseDPDF=Y")</f>
        <v>-1836</v>
      </c>
      <c r="F20" s="13">
        <f>_xll.BDH("XOM US Equity","ACQUIS_FXD_&amp;_INTANG_DETAILED","FQ2 1999","FQ2 1999","Currency=USD","Period=FQ","BEST_FPERIOD_OVERRIDE=FQ","FILING_STATUS=OR","SCALING_FORMAT=MLN","Sort=A","Dates=H","DateFormat=P","Fill=—","Direction=H","UseDPDF=Y")</f>
        <v>-2246</v>
      </c>
      <c r="G20" s="13">
        <f>_xll.BDH("XOM US Equity","ACQUIS_FXD_&amp;_INTANG_DETAILED","FQ3 1999","FQ3 1999","Currency=USD","Period=FQ","BEST_FPERIOD_OVERRIDE=FQ","FILING_STATUS=OR","SCALING_FORMAT=MLN","Sort=A","Dates=H","DateFormat=P","Fill=—","Direction=H","UseDPDF=Y")</f>
        <v>-1693</v>
      </c>
      <c r="H20" s="13">
        <f>_xll.BDH("XOM US Equity","ACQUIS_FXD_&amp;_INTANG_DETAILED","FQ4 1999","FQ4 1999","Currency=USD","Period=FQ","BEST_FPERIOD_OVERRIDE=FQ","FILING_STATUS=OR","SCALING_FORMAT=MLN","Sort=A","Dates=H","DateFormat=P","Fill=—","Direction=H","UseDPDF=Y")</f>
        <v>-5074</v>
      </c>
      <c r="I20" s="13">
        <f>_xll.BDH("XOM US Equity","ACQUIS_FXD_&amp;_INTANG_DETAILED","FQ1 2000","FQ1 2000","Currency=USD","Period=FQ","BEST_FPERIOD_OVERRIDE=FQ","FILING_STATUS=OR","SCALING_FORMAT=MLN","Sort=A","Dates=H","DateFormat=P","Fill=—","Direction=H","UseDPDF=Y")</f>
        <v>-1769</v>
      </c>
      <c r="J20" s="13">
        <f>_xll.BDH("XOM US Equity","ACQUIS_FXD_&amp;_INTANG_DETAILED","FQ2 2000","FQ2 2000","Currency=USD","Period=FQ","BEST_FPERIOD_OVERRIDE=FQ","FILING_STATUS=OR","SCALING_FORMAT=MLN","Sort=A","Dates=H","DateFormat=P","Fill=—","Direction=H","UseDPDF=Y")</f>
        <v>-2032</v>
      </c>
      <c r="K20" s="13">
        <f>_xll.BDH("XOM US Equity","ACQUIS_FXD_&amp;_INTANG_DETAILED","FQ3 2000","FQ3 2000","Currency=USD","Period=FQ","BEST_FPERIOD_OVERRIDE=FQ","FILING_STATUS=OR","SCALING_FORMAT=MLN","Sort=A","Dates=H","DateFormat=P","Fill=—","Direction=H","UseDPDF=Y")</f>
        <v>-2035</v>
      </c>
      <c r="L20" s="13">
        <f>_xll.BDH("XOM US Equity","ACQUIS_FXD_&amp;_INTANG_DETAILED","FQ4 2000","FQ4 2000","Currency=USD","Period=FQ","BEST_FPERIOD_OVERRIDE=FQ","FILING_STATUS=OR","SCALING_FORMAT=MLN","Sort=A","Dates=H","DateFormat=P","Fill=—","Direction=H","UseDPDF=Y")</f>
        <v>-2610</v>
      </c>
      <c r="M20" s="13">
        <f>_xll.BDH("XOM US Equity","ACQUIS_FXD_&amp;_INTANG_DETAILED","FQ1 2001","FQ1 2001","Currency=USD","Period=FQ","BEST_FPERIOD_OVERRIDE=FQ","FILING_STATUS=OR","SCALING_FORMAT=MLN","Sort=A","Dates=H","DateFormat=P","Fill=—","Direction=H","UseDPDF=Y")</f>
        <v>-2028</v>
      </c>
      <c r="N20" s="13">
        <f>_xll.BDH("XOM US Equity","ACQUIS_FXD_&amp;_INTANG_DETAILED","FQ2 2001","FQ2 2001","Currency=USD","Period=FQ","BEST_FPERIOD_OVERRIDE=FQ","FILING_STATUS=OR","SCALING_FORMAT=MLN","Sort=A","Dates=H","DateFormat=P","Fill=—","Direction=H","UseDPDF=Y")</f>
        <v>-2342</v>
      </c>
      <c r="O20" s="13">
        <f>_xll.BDH("XOM US Equity","ACQUIS_FXD_&amp;_INTANG_DETAILED","FQ3 2001","FQ3 2001","Currency=USD","Period=FQ","BEST_FPERIOD_OVERRIDE=FQ","FILING_STATUS=OR","SCALING_FORMAT=MLN","Sort=A","Dates=H","DateFormat=P","Fill=—","Direction=H","UseDPDF=Y")</f>
        <v>-2493</v>
      </c>
      <c r="P20" s="13">
        <f>_xll.BDH("XOM US Equity","ACQUIS_FXD_&amp;_INTANG_DETAILED","FQ4 2001","FQ4 2001","Currency=USD","Period=FQ","BEST_FPERIOD_OVERRIDE=FQ","FILING_STATUS=OR","SCALING_FORMAT=MLN","Sort=A","Dates=H","DateFormat=P","Fill=—","Direction=H","UseDPDF=Y")</f>
        <v>-3126</v>
      </c>
      <c r="Q20" s="13">
        <f>_xll.BDH("XOM US Equity","ACQUIS_FXD_&amp;_INTANG_DETAILED","FQ1 2002","FQ1 2002","Currency=USD","Period=FQ","BEST_FPERIOD_OVERRIDE=FQ","FILING_STATUS=OR","SCALING_FORMAT=MLN","Sort=A","Dates=H","DateFormat=P","Fill=—","Direction=H","UseDPDF=Y")</f>
        <v>-2426</v>
      </c>
      <c r="R20" s="13">
        <f>_xll.BDH("XOM US Equity","ACQUIS_FXD_&amp;_INTANG_DETAILED","FQ2 2002","FQ2 2002","Currency=USD","Period=FQ","BEST_FPERIOD_OVERRIDE=FQ","FILING_STATUS=OR","SCALING_FORMAT=MLN","Sort=A","Dates=H","DateFormat=P","Fill=—","Direction=H","UseDPDF=Y")</f>
        <v>-2837</v>
      </c>
      <c r="S20" s="13">
        <f>_xll.BDH("XOM US Equity","ACQUIS_FXD_&amp;_INTANG_DETAILED","FQ3 2002","FQ3 2002","Currency=USD","Period=FQ","BEST_FPERIOD_OVERRIDE=FQ","FILING_STATUS=OR","SCALING_FORMAT=MLN","Sort=A","Dates=H","DateFormat=P","Fill=—","Direction=H","UseDPDF=Y")</f>
        <v>-2884</v>
      </c>
      <c r="T20" s="13">
        <f>_xll.BDH("XOM US Equity","ACQUIS_FXD_&amp;_INTANG_DETAILED","FQ4 2002","FQ4 2002","Currency=USD","Period=FQ","BEST_FPERIOD_OVERRIDE=FQ","FILING_STATUS=OR","SCALING_FORMAT=MLN","Sort=A","Dates=H","DateFormat=P","Fill=—","Direction=H","UseDPDF=Y")</f>
        <v>-3290</v>
      </c>
      <c r="U20" s="13">
        <f>_xll.BDH("XOM US Equity","ACQUIS_FXD_&amp;_INTANG_DETAILED","FQ1 2003","FQ1 2003","Currency=USD","Period=FQ","BEST_FPERIOD_OVERRIDE=FQ","FILING_STATUS=OR","SCALING_FORMAT=MLN","Sort=A","Dates=H","DateFormat=P","Fill=—","Direction=H","UseDPDF=Y")</f>
        <v>-2938</v>
      </c>
      <c r="V20" s="13">
        <f>_xll.BDH("XOM US Equity","ACQUIS_FXD_&amp;_INTANG_DETAILED","FQ2 2003","FQ2 2003","Currency=USD","Period=FQ","BEST_FPERIOD_OVERRIDE=FQ","FILING_STATUS=OR","SCALING_FORMAT=MLN","Sort=A","Dates=H","DateFormat=P","Fill=—","Direction=H","UseDPDF=Y")</f>
        <v>-3294</v>
      </c>
      <c r="W20" s="13">
        <f>_xll.BDH("XOM US Equity","ACQUIS_FXD_&amp;_INTANG_DETAILED","FQ3 2003","FQ3 2003","Currency=USD","Period=FQ","BEST_FPERIOD_OVERRIDE=FQ","FILING_STATUS=OR","SCALING_FORMAT=MLN","Sort=A","Dates=H","DateFormat=P","Fill=—","Direction=H","UseDPDF=Y")</f>
        <v>-3073</v>
      </c>
      <c r="X20" s="13">
        <f>_xll.BDH("XOM US Equity","ACQUIS_FXD_&amp;_INTANG_DETAILED","FQ4 2003","FQ4 2003","Currency=USD","Period=FQ","BEST_FPERIOD_OVERRIDE=FQ","FILING_STATUS=OR","SCALING_FORMAT=MLN","Sort=A","Dates=H","DateFormat=P","Fill=—","Direction=H","UseDPDF=Y")</f>
        <v>-3554</v>
      </c>
      <c r="Y20" s="13">
        <f>_xll.BDH("XOM US Equity","ACQUIS_FXD_&amp;_INTANG_DETAILED","FQ1 2004","FQ1 2004","Currency=USD","Period=FQ","BEST_FPERIOD_OVERRIDE=FQ","FILING_STATUS=OR","SCALING_FORMAT=MLN","Sort=A","Dates=H","DateFormat=P","Fill=—","Direction=H","UseDPDF=Y")</f>
        <v>-2810</v>
      </c>
      <c r="Z20" s="13">
        <f>_xll.BDH("XOM US Equity","ACQUIS_FXD_&amp;_INTANG_DETAILED","FQ2 2004","FQ2 2004","Currency=USD","Period=FQ","BEST_FPERIOD_OVERRIDE=FQ","FILING_STATUS=OR","SCALING_FORMAT=MLN","Sort=A","Dates=H","DateFormat=P","Fill=—","Direction=H","UseDPDF=Y")</f>
        <v>-2932</v>
      </c>
      <c r="AA20" s="13">
        <f>_xll.BDH("XOM US Equity","ACQUIS_FXD_&amp;_INTANG_DETAILED","FQ3 2004","FQ3 2004","Currency=USD","Period=FQ","BEST_FPERIOD_OVERRIDE=FQ","FILING_STATUS=OR","SCALING_FORMAT=MLN","Sort=A","Dates=H","DateFormat=P","Fill=—","Direction=H","UseDPDF=Y")</f>
        <v>-2837</v>
      </c>
      <c r="AB20" s="13">
        <f>_xll.BDH("XOM US Equity","ACQUIS_FXD_&amp;_INTANG_DETAILED","FQ4 2004","FQ4 2004","Currency=USD","Period=FQ","BEST_FPERIOD_OVERRIDE=FQ","FILING_STATUS=OR","SCALING_FORMAT=MLN","Sort=A","Dates=H","DateFormat=P","Fill=—","Direction=H","UseDPDF=Y")</f>
        <v>-3407</v>
      </c>
      <c r="AC20" s="13">
        <f>_xll.BDH("XOM US Equity","ACQUIS_FXD_&amp;_INTANG_DETAILED","FQ1 2005","FQ1 2005","Currency=USD","Period=FQ","BEST_FPERIOD_OVERRIDE=FQ","FILING_STATUS=OR","SCALING_FORMAT=MLN","Sort=A","Dates=H","DateFormat=P","Fill=—","Direction=H","UseDPDF=Y")</f>
        <v>-2713</v>
      </c>
      <c r="AD20" s="13">
        <f>_xll.BDH("XOM US Equity","ACQUIS_FXD_&amp;_INTANG_DETAILED","FQ2 2005","FQ2 2005","Currency=USD","Period=FQ","BEST_FPERIOD_OVERRIDE=FQ","FILING_STATUS=OR","SCALING_FORMAT=MLN","Sort=A","Dates=H","DateFormat=P","Fill=—","Direction=H","UseDPDF=Y")</f>
        <v>-3735</v>
      </c>
      <c r="AE20" s="13">
        <f>_xll.BDH("XOM US Equity","ACQUIS_FXD_&amp;_INTANG_DETAILED","FQ3 2005","FQ3 2005","Currency=USD","Period=FQ","BEST_FPERIOD_OVERRIDE=FQ","FILING_STATUS=OR","SCALING_FORMAT=MLN","Sort=A","Dates=H","DateFormat=P","Fill=—","Direction=H","UseDPDF=Y")</f>
        <v>-3492</v>
      </c>
      <c r="AF20" s="13">
        <f>_xll.BDH("XOM US Equity","ACQUIS_FXD_&amp;_INTANG_DETAILED","FQ4 2005","FQ4 2005","Currency=USD","Period=FQ","BEST_FPERIOD_OVERRIDE=FQ","FILING_STATUS=OR","SCALING_FORMAT=MLN","Sort=A","Dates=H","DateFormat=P","Fill=—","Direction=H","UseDPDF=Y")</f>
        <v>-3899</v>
      </c>
      <c r="AG20" s="13">
        <f>_xll.BDH("XOM US Equity","ACQUIS_FXD_&amp;_INTANG_DETAILED","FQ1 2006","FQ1 2006","Currency=USD","Period=FQ","BEST_FPERIOD_OVERRIDE=FQ","FILING_STATUS=OR","SCALING_FORMAT=MLN","Sort=A","Dates=H","DateFormat=P","Fill=—","Direction=H","UseDPDF=Y")</f>
        <v>-3730</v>
      </c>
      <c r="AH20" s="13">
        <f>_xll.BDH("XOM US Equity","ACQUIS_FXD_&amp;_INTANG_DETAILED","FQ2 2006","FQ2 2006","Currency=USD","Period=FQ","BEST_FPERIOD_OVERRIDE=FQ","FILING_STATUS=OR","SCALING_FORMAT=MLN","Sort=A","Dates=H","DateFormat=P","Fill=—","Direction=H","UseDPDF=Y")</f>
        <v>-4250</v>
      </c>
      <c r="AI20" s="13">
        <f>_xll.BDH("XOM US Equity","ACQUIS_FXD_&amp;_INTANG_DETAILED","FQ3 2006","FQ3 2006","Currency=USD","Period=FQ","BEST_FPERIOD_OVERRIDE=FQ","FILING_STATUS=OR","SCALING_FORMAT=MLN","Sort=A","Dates=H","DateFormat=P","Fill=—","Direction=H","UseDPDF=Y")</f>
        <v>-3715</v>
      </c>
      <c r="AJ20" s="13">
        <f>_xll.BDH("XOM US Equity","ACQUIS_FXD_&amp;_INTANG_DETAILED","FQ4 2006","FQ4 2006","Currency=USD","Period=FQ","BEST_FPERIOD_OVERRIDE=FQ","FILING_STATUS=OR","SCALING_FORMAT=MLN","Sort=A","Dates=H","DateFormat=P","Fill=—","Direction=H","UseDPDF=Y")</f>
        <v>-3767</v>
      </c>
      <c r="AK20" s="13">
        <f>_xll.BDH("XOM US Equity","ACQUIS_FXD_&amp;_INTANG_DETAILED","FQ1 2007","FQ1 2007","Currency=USD","Period=FQ","BEST_FPERIOD_OVERRIDE=FQ","FILING_STATUS=OR","SCALING_FORMAT=MLN","Sort=A","Dates=H","DateFormat=P","Fill=—","Direction=H","UseDPDF=Y")</f>
        <v>-3106</v>
      </c>
      <c r="AL20" s="13">
        <f>_xll.BDH("XOM US Equity","ACQUIS_FXD_&amp;_INTANG_DETAILED","FQ2 2007","FQ2 2007","Currency=USD","Period=FQ","BEST_FPERIOD_OVERRIDE=FQ","FILING_STATUS=OR","SCALING_FORMAT=MLN","Sort=A","Dates=H","DateFormat=P","Fill=—","Direction=H","UseDPDF=Y")</f>
        <v>-3786</v>
      </c>
      <c r="AM20" s="13">
        <f>_xll.BDH("XOM US Equity","ACQUIS_FXD_&amp;_INTANG_DETAILED","FQ3 2007","FQ3 2007","Currency=USD","Period=FQ","BEST_FPERIOD_OVERRIDE=FQ","FILING_STATUS=OR","SCALING_FORMAT=MLN","Sort=A","Dates=H","DateFormat=P","Fill=—","Direction=H","UseDPDF=Y")</f>
        <v>-3935</v>
      </c>
      <c r="AN20" s="13">
        <f>_xll.BDH("XOM US Equity","ACQUIS_FXD_&amp;_INTANG_DETAILED","FQ4 2007","FQ4 2007","Currency=USD","Period=FQ","BEST_FPERIOD_OVERRIDE=FQ","FILING_STATUS=OR","SCALING_FORMAT=MLN","Sort=A","Dates=H","DateFormat=P","Fill=—","Direction=H","UseDPDF=Y")</f>
        <v>-4560</v>
      </c>
      <c r="AO20" s="13">
        <f>_xll.BDH("XOM US Equity","ACQUIS_FXD_&amp;_INTANG_DETAILED","FQ1 2008","FQ1 2008","Currency=USD","Period=FQ","BEST_FPERIOD_OVERRIDE=FQ","FILING_STATUS=OR","SCALING_FORMAT=MLN","Sort=A","Dates=H","DateFormat=P","Fill=—","Direction=H","UseDPDF=Y")</f>
        <v>-3979</v>
      </c>
      <c r="AP20" s="13">
        <f>_xll.BDH("XOM US Equity","ACQUIS_FXD_&amp;_INTANG_DETAILED","FQ2 2008","FQ2 2008","Currency=USD","Period=FQ","BEST_FPERIOD_OVERRIDE=FQ","FILING_STATUS=OR","SCALING_FORMAT=MLN","Sort=A","Dates=H","DateFormat=P","Fill=—","Direction=H","UseDPDF=Y")</f>
        <v>-4872</v>
      </c>
    </row>
    <row r="21" spans="1:42" x14ac:dyDescent="0.25">
      <c r="A21" s="10" t="s">
        <v>310</v>
      </c>
      <c r="B21" s="10" t="s">
        <v>311</v>
      </c>
      <c r="C21" s="13">
        <f>_xll.BDH("XOM US Equity","NET_CHG_IN_LT_INVEST_DETAILED","FQ3 1998","FQ3 1998","Currency=USD","Period=FQ","BEST_FPERIOD_OVERRIDE=FQ","FILING_STATUS=OR","SCALING_FORMAT=MLN","Sort=A","Dates=H","DateFormat=P","Fill=—","Direction=H","UseDPDF=Y")</f>
        <v>0</v>
      </c>
      <c r="D21" s="13">
        <f>_xll.BDH("XOM US Equity","NET_CHG_IN_LT_INVEST_DETAILED","FQ4 1998","FQ4 1998","Currency=USD","Period=FQ","BEST_FPERIOD_OVERRIDE=FQ","FILING_STATUS=OR","SCALING_FORMAT=MLN","Sort=A","Dates=H","DateFormat=P","Fill=—","Direction=H","UseDPDF=Y")</f>
        <v>0</v>
      </c>
      <c r="E21" s="13">
        <f>_xll.BDH("XOM US Equity","NET_CHG_IN_LT_INVEST_DETAILED","FQ1 1999","FQ1 1999","Currency=USD","Period=FQ","BEST_FPERIOD_OVERRIDE=FQ","FILING_STATUS=OR","SCALING_FORMAT=MLN","Sort=A","Dates=H","DateFormat=P","Fill=—","Direction=H","UseDPDF=Y")</f>
        <v>0</v>
      </c>
      <c r="F21" s="13">
        <f>_xll.BDH("XOM US Equity","NET_CHG_IN_LT_INVEST_DETAILED","FQ2 1999","FQ2 1999","Currency=USD","Period=FQ","BEST_FPERIOD_OVERRIDE=FQ","FILING_STATUS=OR","SCALING_FORMAT=MLN","Sort=A","Dates=H","DateFormat=P","Fill=—","Direction=H","UseDPDF=Y")</f>
        <v>0</v>
      </c>
      <c r="G21" s="13">
        <f>_xll.BDH("XOM US Equity","NET_CHG_IN_LT_INVEST_DETAILED","FQ3 1999","FQ3 1999","Currency=USD","Period=FQ","BEST_FPERIOD_OVERRIDE=FQ","FILING_STATUS=OR","SCALING_FORMAT=MLN","Sort=A","Dates=H","DateFormat=P","Fill=—","Direction=H","UseDPDF=Y")</f>
        <v>0</v>
      </c>
      <c r="H21" s="13">
        <f>_xll.BDH("XOM US Equity","NET_CHG_IN_LT_INVEST_DETAILED","FQ4 1999","FQ4 1999","Currency=USD","Period=FQ","BEST_FPERIOD_OVERRIDE=FQ","FILING_STATUS=OR","SCALING_FORMAT=MLN","Sort=A","Dates=H","DateFormat=P","Fill=—","Direction=H","UseDPDF=Y")</f>
        <v>0</v>
      </c>
      <c r="I21" s="13">
        <f>_xll.BDH("XOM US Equity","NET_CHG_IN_LT_INVEST_DETAILED","FQ1 2000","FQ1 2000","Currency=USD","Period=FQ","BEST_FPERIOD_OVERRIDE=FQ","FILING_STATUS=OR","SCALING_FORMAT=MLN","Sort=A","Dates=H","DateFormat=P","Fill=—","Direction=H","UseDPDF=Y")</f>
        <v>0</v>
      </c>
      <c r="J21" s="13">
        <f>_xll.BDH("XOM US Equity","NET_CHG_IN_LT_INVEST_DETAILED","FQ2 2000","FQ2 2000","Currency=USD","Period=FQ","BEST_FPERIOD_OVERRIDE=FQ","FILING_STATUS=OR","SCALING_FORMAT=MLN","Sort=A","Dates=H","DateFormat=P","Fill=—","Direction=H","UseDPDF=Y")</f>
        <v>0</v>
      </c>
      <c r="K21" s="13">
        <f>_xll.BDH("XOM US Equity","NET_CHG_IN_LT_INVEST_DETAILED","FQ3 2000","FQ3 2000","Currency=USD","Period=FQ","BEST_FPERIOD_OVERRIDE=FQ","FILING_STATUS=OR","SCALING_FORMAT=MLN","Sort=A","Dates=H","DateFormat=P","Fill=—","Direction=H","UseDPDF=Y")</f>
        <v>0</v>
      </c>
      <c r="L21" s="13">
        <f>_xll.BDH("XOM US Equity","NET_CHG_IN_LT_INVEST_DETAILED","FQ4 2000","FQ4 2000","Currency=USD","Period=FQ","BEST_FPERIOD_OVERRIDE=FQ","FILING_STATUS=OR","SCALING_FORMAT=MLN","Sort=A","Dates=H","DateFormat=P","Fill=—","Direction=H","UseDPDF=Y")</f>
        <v>0</v>
      </c>
      <c r="M21" s="13">
        <f>_xll.BDH("XOM US Equity","NET_CHG_IN_LT_INVEST_DETAILED","FQ1 2001","FQ1 2001","Currency=USD","Period=FQ","BEST_FPERIOD_OVERRIDE=FQ","FILING_STATUS=OR","SCALING_FORMAT=MLN","Sort=A","Dates=H","DateFormat=P","Fill=—","Direction=H","UseDPDF=Y")</f>
        <v>0</v>
      </c>
      <c r="N21" s="13">
        <f>_xll.BDH("XOM US Equity","NET_CHG_IN_LT_INVEST_DETAILED","FQ2 2001","FQ2 2001","Currency=USD","Period=FQ","BEST_FPERIOD_OVERRIDE=FQ","FILING_STATUS=OR","SCALING_FORMAT=MLN","Sort=A","Dates=H","DateFormat=P","Fill=—","Direction=H","UseDPDF=Y")</f>
        <v>0</v>
      </c>
      <c r="O21" s="13">
        <f>_xll.BDH("XOM US Equity","NET_CHG_IN_LT_INVEST_DETAILED","FQ3 2001","FQ3 2001","Currency=USD","Period=FQ","BEST_FPERIOD_OVERRIDE=FQ","FILING_STATUS=OR","SCALING_FORMAT=MLN","Sort=A","Dates=H","DateFormat=P","Fill=—","Direction=H","UseDPDF=Y")</f>
        <v>0</v>
      </c>
      <c r="P21" s="13">
        <f>_xll.BDH("XOM US Equity","NET_CHG_IN_LT_INVEST_DETAILED","FQ4 2001","FQ4 2001","Currency=USD","Period=FQ","BEST_FPERIOD_OVERRIDE=FQ","FILING_STATUS=OR","SCALING_FORMAT=MLN","Sort=A","Dates=H","DateFormat=P","Fill=—","Direction=H","UseDPDF=Y")</f>
        <v>0</v>
      </c>
      <c r="Q21" s="13">
        <f>_xll.BDH("XOM US Equity","NET_CHG_IN_LT_INVEST_DETAILED","FQ1 2002","FQ1 2002","Currency=USD","Period=FQ","BEST_FPERIOD_OVERRIDE=FQ","FILING_STATUS=OR","SCALING_FORMAT=MLN","Sort=A","Dates=H","DateFormat=P","Fill=—","Direction=H","UseDPDF=Y")</f>
        <v>0</v>
      </c>
      <c r="R21" s="13">
        <f>_xll.BDH("XOM US Equity","NET_CHG_IN_LT_INVEST_DETAILED","FQ2 2002","FQ2 2002","Currency=USD","Period=FQ","BEST_FPERIOD_OVERRIDE=FQ","FILING_STATUS=OR","SCALING_FORMAT=MLN","Sort=A","Dates=H","DateFormat=P","Fill=—","Direction=H","UseDPDF=Y")</f>
        <v>0</v>
      </c>
      <c r="S21" s="13">
        <f>_xll.BDH("XOM US Equity","NET_CHG_IN_LT_INVEST_DETAILED","FQ3 2002","FQ3 2002","Currency=USD","Period=FQ","BEST_FPERIOD_OVERRIDE=FQ","FILING_STATUS=OR","SCALING_FORMAT=MLN","Sort=A","Dates=H","DateFormat=P","Fill=—","Direction=H","UseDPDF=Y")</f>
        <v>0</v>
      </c>
      <c r="T21" s="13">
        <f>_xll.BDH("XOM US Equity","NET_CHG_IN_LT_INVEST_DETAILED","FQ4 2002","FQ4 2002","Currency=USD","Period=FQ","BEST_FPERIOD_OVERRIDE=FQ","FILING_STATUS=OR","SCALING_FORMAT=MLN","Sort=A","Dates=H","DateFormat=P","Fill=—","Direction=H","UseDPDF=Y")</f>
        <v>0</v>
      </c>
      <c r="U21" s="13">
        <f>_xll.BDH("XOM US Equity","NET_CHG_IN_LT_INVEST_DETAILED","FQ1 2003","FQ1 2003","Currency=USD","Period=FQ","BEST_FPERIOD_OVERRIDE=FQ","FILING_STATUS=OR","SCALING_FORMAT=MLN","Sort=A","Dates=H","DateFormat=P","Fill=—","Direction=H","UseDPDF=Y")</f>
        <v>0</v>
      </c>
      <c r="V21" s="13">
        <f>_xll.BDH("XOM US Equity","NET_CHG_IN_LT_INVEST_DETAILED","FQ2 2003","FQ2 2003","Currency=USD","Period=FQ","BEST_FPERIOD_OVERRIDE=FQ","FILING_STATUS=OR","SCALING_FORMAT=MLN","Sort=A","Dates=H","DateFormat=P","Fill=—","Direction=H","UseDPDF=Y")</f>
        <v>0</v>
      </c>
      <c r="W21" s="13">
        <f>_xll.BDH("XOM US Equity","NET_CHG_IN_LT_INVEST_DETAILED","FQ3 2003","FQ3 2003","Currency=USD","Period=FQ","BEST_FPERIOD_OVERRIDE=FQ","FILING_STATUS=OR","SCALING_FORMAT=MLN","Sort=A","Dates=H","DateFormat=P","Fill=—","Direction=H","UseDPDF=Y")</f>
        <v>0</v>
      </c>
      <c r="X21" s="13">
        <f>_xll.BDH("XOM US Equity","NET_CHG_IN_LT_INVEST_DETAILED","FQ4 2003","FQ4 2003","Currency=USD","Period=FQ","BEST_FPERIOD_OVERRIDE=FQ","FILING_STATUS=OR","SCALING_FORMAT=MLN","Sort=A","Dates=H","DateFormat=P","Fill=—","Direction=H","UseDPDF=Y")</f>
        <v>0</v>
      </c>
      <c r="Y21" s="13">
        <f>_xll.BDH("XOM US Equity","NET_CHG_IN_LT_INVEST_DETAILED","FQ1 2004","FQ1 2004","Currency=USD","Period=FQ","BEST_FPERIOD_OVERRIDE=FQ","FILING_STATUS=OR","SCALING_FORMAT=MLN","Sort=A","Dates=H","DateFormat=P","Fill=—","Direction=H","UseDPDF=Y")</f>
        <v>0</v>
      </c>
      <c r="Z21" s="13">
        <f>_xll.BDH("XOM US Equity","NET_CHG_IN_LT_INVEST_DETAILED","FQ2 2004","FQ2 2004","Currency=USD","Period=FQ","BEST_FPERIOD_OVERRIDE=FQ","FILING_STATUS=OR","SCALING_FORMAT=MLN","Sort=A","Dates=H","DateFormat=P","Fill=—","Direction=H","UseDPDF=Y")</f>
        <v>0</v>
      </c>
      <c r="AA21" s="13">
        <f>_xll.BDH("XOM US Equity","NET_CHG_IN_LT_INVEST_DETAILED","FQ3 2004","FQ3 2004","Currency=USD","Period=FQ","BEST_FPERIOD_OVERRIDE=FQ","FILING_STATUS=OR","SCALING_FORMAT=MLN","Sort=A","Dates=H","DateFormat=P","Fill=—","Direction=H","UseDPDF=Y")</f>
        <v>0</v>
      </c>
      <c r="AB21" s="13">
        <f>_xll.BDH("XOM US Equity","NET_CHG_IN_LT_INVEST_DETAILED","FQ4 2004","FQ4 2004","Currency=USD","Period=FQ","BEST_FPERIOD_OVERRIDE=FQ","FILING_STATUS=OR","SCALING_FORMAT=MLN","Sort=A","Dates=H","DateFormat=P","Fill=—","Direction=H","UseDPDF=Y")</f>
        <v>0</v>
      </c>
      <c r="AC21" s="13">
        <f>_xll.BDH("XOM US Equity","NET_CHG_IN_LT_INVEST_DETAILED","FQ1 2005","FQ1 2005","Currency=USD","Period=FQ","BEST_FPERIOD_OVERRIDE=FQ","FILING_STATUS=OR","SCALING_FORMAT=MLN","Sort=A","Dates=H","DateFormat=P","Fill=—","Direction=H","UseDPDF=Y")</f>
        <v>0</v>
      </c>
      <c r="AD21" s="13">
        <f>_xll.BDH("XOM US Equity","NET_CHG_IN_LT_INVEST_DETAILED","FQ2 2005","FQ2 2005","Currency=USD","Period=FQ","BEST_FPERIOD_OVERRIDE=FQ","FILING_STATUS=OR","SCALING_FORMAT=MLN","Sort=A","Dates=H","DateFormat=P","Fill=—","Direction=H","UseDPDF=Y")</f>
        <v>0</v>
      </c>
      <c r="AE21" s="13">
        <f>_xll.BDH("XOM US Equity","NET_CHG_IN_LT_INVEST_DETAILED","FQ3 2005","FQ3 2005","Currency=USD","Period=FQ","BEST_FPERIOD_OVERRIDE=FQ","FILING_STATUS=OR","SCALING_FORMAT=MLN","Sort=A","Dates=H","DateFormat=P","Fill=—","Direction=H","UseDPDF=Y")</f>
        <v>0</v>
      </c>
      <c r="AF21" s="13">
        <f>_xll.BDH("XOM US Equity","NET_CHG_IN_LT_INVEST_DETAILED","FQ4 2005","FQ4 2005","Currency=USD","Period=FQ","BEST_FPERIOD_OVERRIDE=FQ","FILING_STATUS=OR","SCALING_FORMAT=MLN","Sort=A","Dates=H","DateFormat=P","Fill=—","Direction=H","UseDPDF=Y")</f>
        <v>0</v>
      </c>
      <c r="AG21" s="13">
        <f>_xll.BDH("XOM US Equity","NET_CHG_IN_LT_INVEST_DETAILED","FQ1 2006","FQ1 2006","Currency=USD","Period=FQ","BEST_FPERIOD_OVERRIDE=FQ","FILING_STATUS=OR","SCALING_FORMAT=MLN","Sort=A","Dates=H","DateFormat=P","Fill=—","Direction=H","UseDPDF=Y")</f>
        <v>0</v>
      </c>
      <c r="AH21" s="13">
        <f>_xll.BDH("XOM US Equity","NET_CHG_IN_LT_INVEST_DETAILED","FQ2 2006","FQ2 2006","Currency=USD","Period=FQ","BEST_FPERIOD_OVERRIDE=FQ","FILING_STATUS=OR","SCALING_FORMAT=MLN","Sort=A","Dates=H","DateFormat=P","Fill=—","Direction=H","UseDPDF=Y")</f>
        <v>0</v>
      </c>
      <c r="AI21" s="13">
        <f>_xll.BDH("XOM US Equity","NET_CHG_IN_LT_INVEST_DETAILED","FQ3 2006","FQ3 2006","Currency=USD","Period=FQ","BEST_FPERIOD_OVERRIDE=FQ","FILING_STATUS=OR","SCALING_FORMAT=MLN","Sort=A","Dates=H","DateFormat=P","Fill=—","Direction=H","UseDPDF=Y")</f>
        <v>0</v>
      </c>
      <c r="AJ21" s="13">
        <f>_xll.BDH("XOM US Equity","NET_CHG_IN_LT_INVEST_DETAILED","FQ4 2006","FQ4 2006","Currency=USD","Period=FQ","BEST_FPERIOD_OVERRIDE=FQ","FILING_STATUS=OR","SCALING_FORMAT=MLN","Sort=A","Dates=H","DateFormat=P","Fill=—","Direction=H","UseDPDF=Y")</f>
        <v>0</v>
      </c>
      <c r="AK21" s="13">
        <f>_xll.BDH("XOM US Equity","NET_CHG_IN_LT_INVEST_DETAILED","FQ1 2007","FQ1 2007","Currency=USD","Period=FQ","BEST_FPERIOD_OVERRIDE=FQ","FILING_STATUS=OR","SCALING_FORMAT=MLN","Sort=A","Dates=H","DateFormat=P","Fill=—","Direction=H","UseDPDF=Y")</f>
        <v>0</v>
      </c>
      <c r="AL21" s="13">
        <f>_xll.BDH("XOM US Equity","NET_CHG_IN_LT_INVEST_DETAILED","FQ2 2007","FQ2 2007","Currency=USD","Period=FQ","BEST_FPERIOD_OVERRIDE=FQ","FILING_STATUS=OR","SCALING_FORMAT=MLN","Sort=A","Dates=H","DateFormat=P","Fill=—","Direction=H","UseDPDF=Y")</f>
        <v>0</v>
      </c>
      <c r="AM21" s="13">
        <f>_xll.BDH("XOM US Equity","NET_CHG_IN_LT_INVEST_DETAILED","FQ3 2007","FQ3 2007","Currency=USD","Period=FQ","BEST_FPERIOD_OVERRIDE=FQ","FILING_STATUS=OR","SCALING_FORMAT=MLN","Sort=A","Dates=H","DateFormat=P","Fill=—","Direction=H","UseDPDF=Y")</f>
        <v>0</v>
      </c>
      <c r="AN21" s="13">
        <f>_xll.BDH("XOM US Equity","NET_CHG_IN_LT_INVEST_DETAILED","FQ4 2007","FQ4 2007","Currency=USD","Period=FQ","BEST_FPERIOD_OVERRIDE=FQ","FILING_STATUS=OR","SCALING_FORMAT=MLN","Sort=A","Dates=H","DateFormat=P","Fill=—","Direction=H","UseDPDF=Y")</f>
        <v>0</v>
      </c>
      <c r="AO21" s="13">
        <f>_xll.BDH("XOM US Equity","NET_CHG_IN_LT_INVEST_DETAILED","FQ1 2008","FQ1 2008","Currency=USD","Period=FQ","BEST_FPERIOD_OVERRIDE=FQ","FILING_STATUS=OR","SCALING_FORMAT=MLN","Sort=A","Dates=H","DateFormat=P","Fill=—","Direction=H","UseDPDF=Y")</f>
        <v>0</v>
      </c>
      <c r="AP21" s="13">
        <f>_xll.BDH("XOM US Equity","NET_CHG_IN_LT_INVEST_DETAILED","FQ2 2008","FQ2 2008","Currency=USD","Period=FQ","BEST_FPERIOD_OVERRIDE=FQ","FILING_STATUS=OR","SCALING_FORMAT=MLN","Sort=A","Dates=H","DateFormat=P","Fill=—","Direction=H","UseDPDF=Y")</f>
        <v>0</v>
      </c>
    </row>
    <row r="22" spans="1:42" x14ac:dyDescent="0.25">
      <c r="A22" s="10" t="s">
        <v>312</v>
      </c>
      <c r="B22" s="10" t="s">
        <v>313</v>
      </c>
      <c r="C22" s="13">
        <f>_xll.BDH("XOM US Equity","CF_DECR_INVEST","FQ3 1998","FQ3 1998","Currency=USD","Period=FQ","BEST_FPERIOD_OVERRIDE=FQ","FILING_STATUS=OR","SCALING_FORMAT=MLN","Sort=A","Dates=H","DateFormat=P","Fill=—","Direction=H","UseDPDF=Y")</f>
        <v>0</v>
      </c>
      <c r="D22" s="13">
        <f>_xll.BDH("XOM US Equity","CF_DECR_INVEST","FQ4 1998","FQ4 1998","Currency=USD","Period=FQ","BEST_FPERIOD_OVERRIDE=FQ","FILING_STATUS=OR","SCALING_FORMAT=MLN","Sort=A","Dates=H","DateFormat=P","Fill=—","Direction=H","UseDPDF=Y")</f>
        <v>0</v>
      </c>
      <c r="E22" s="13">
        <f>_xll.BDH("XOM US Equity","CF_DECR_INVEST","FQ1 1999","FQ1 1999","Currency=USD","Period=FQ","BEST_FPERIOD_OVERRIDE=FQ","FILING_STATUS=OR","SCALING_FORMAT=MLN","Sort=A","Dates=H","DateFormat=P","Fill=—","Direction=H","UseDPDF=Y")</f>
        <v>0</v>
      </c>
      <c r="F22" s="13">
        <f>_xll.BDH("XOM US Equity","CF_DECR_INVEST","FQ2 1999","FQ2 1999","Currency=USD","Period=FQ","BEST_FPERIOD_OVERRIDE=FQ","FILING_STATUS=OR","SCALING_FORMAT=MLN","Sort=A","Dates=H","DateFormat=P","Fill=—","Direction=H","UseDPDF=Y")</f>
        <v>0</v>
      </c>
      <c r="G22" s="13">
        <f>_xll.BDH("XOM US Equity","CF_DECR_INVEST","FQ3 1999","FQ3 1999","Currency=USD","Period=FQ","BEST_FPERIOD_OVERRIDE=FQ","FILING_STATUS=OR","SCALING_FORMAT=MLN","Sort=A","Dates=H","DateFormat=P","Fill=—","Direction=H","UseDPDF=Y")</f>
        <v>0</v>
      </c>
      <c r="H22" s="13">
        <f>_xll.BDH("XOM US Equity","CF_DECR_INVEST","FQ4 1999","FQ4 1999","Currency=USD","Period=FQ","BEST_FPERIOD_OVERRIDE=FQ","FILING_STATUS=OR","SCALING_FORMAT=MLN","Sort=A","Dates=H","DateFormat=P","Fill=—","Direction=H","UseDPDF=Y")</f>
        <v>0</v>
      </c>
      <c r="I22" s="13">
        <f>_xll.BDH("XOM US Equity","CF_DECR_INVEST","FQ1 2000","FQ1 2000","Currency=USD","Period=FQ","BEST_FPERIOD_OVERRIDE=FQ","FILING_STATUS=OR","SCALING_FORMAT=MLN","Sort=A","Dates=H","DateFormat=P","Fill=—","Direction=H","UseDPDF=Y")</f>
        <v>0</v>
      </c>
      <c r="J22" s="13">
        <f>_xll.BDH("XOM US Equity","CF_DECR_INVEST","FQ2 2000","FQ2 2000","Currency=USD","Period=FQ","BEST_FPERIOD_OVERRIDE=FQ","FILING_STATUS=OR","SCALING_FORMAT=MLN","Sort=A","Dates=H","DateFormat=P","Fill=—","Direction=H","UseDPDF=Y")</f>
        <v>0</v>
      </c>
      <c r="K22" s="13">
        <f>_xll.BDH("XOM US Equity","CF_DECR_INVEST","FQ3 2000","FQ3 2000","Currency=USD","Period=FQ","BEST_FPERIOD_OVERRIDE=FQ","FILING_STATUS=OR","SCALING_FORMAT=MLN","Sort=A","Dates=H","DateFormat=P","Fill=—","Direction=H","UseDPDF=Y")</f>
        <v>0</v>
      </c>
      <c r="L22" s="13">
        <f>_xll.BDH("XOM US Equity","CF_DECR_INVEST","FQ4 2000","FQ4 2000","Currency=USD","Period=FQ","BEST_FPERIOD_OVERRIDE=FQ","FILING_STATUS=OR","SCALING_FORMAT=MLN","Sort=A","Dates=H","DateFormat=P","Fill=—","Direction=H","UseDPDF=Y")</f>
        <v>0</v>
      </c>
      <c r="M22" s="13">
        <f>_xll.BDH("XOM US Equity","CF_DECR_INVEST","FQ1 2001","FQ1 2001","Currency=USD","Period=FQ","BEST_FPERIOD_OVERRIDE=FQ","FILING_STATUS=OR","SCALING_FORMAT=MLN","Sort=A","Dates=H","DateFormat=P","Fill=—","Direction=H","UseDPDF=Y")</f>
        <v>0</v>
      </c>
      <c r="N22" s="13">
        <f>_xll.BDH("XOM US Equity","CF_DECR_INVEST","FQ2 2001","FQ2 2001","Currency=USD","Period=FQ","BEST_FPERIOD_OVERRIDE=FQ","FILING_STATUS=OR","SCALING_FORMAT=MLN","Sort=A","Dates=H","DateFormat=P","Fill=—","Direction=H","UseDPDF=Y")</f>
        <v>0</v>
      </c>
      <c r="O22" s="13">
        <f>_xll.BDH("XOM US Equity","CF_DECR_INVEST","FQ3 2001","FQ3 2001","Currency=USD","Period=FQ","BEST_FPERIOD_OVERRIDE=FQ","FILING_STATUS=OR","SCALING_FORMAT=MLN","Sort=A","Dates=H","DateFormat=P","Fill=—","Direction=H","UseDPDF=Y")</f>
        <v>0</v>
      </c>
      <c r="P22" s="13">
        <f>_xll.BDH("XOM US Equity","CF_DECR_INVEST","FQ4 2001","FQ4 2001","Currency=USD","Period=FQ","BEST_FPERIOD_OVERRIDE=FQ","FILING_STATUS=OR","SCALING_FORMAT=MLN","Sort=A","Dates=H","DateFormat=P","Fill=—","Direction=H","UseDPDF=Y")</f>
        <v>0</v>
      </c>
      <c r="Q22" s="13">
        <f>_xll.BDH("XOM US Equity","CF_DECR_INVEST","FQ1 2002","FQ1 2002","Currency=USD","Period=FQ","BEST_FPERIOD_OVERRIDE=FQ","FILING_STATUS=OR","SCALING_FORMAT=MLN","Sort=A","Dates=H","DateFormat=P","Fill=—","Direction=H","UseDPDF=Y")</f>
        <v>0</v>
      </c>
      <c r="R22" s="13">
        <f>_xll.BDH("XOM US Equity","CF_DECR_INVEST","FQ2 2002","FQ2 2002","Currency=USD","Period=FQ","BEST_FPERIOD_OVERRIDE=FQ","FILING_STATUS=OR","SCALING_FORMAT=MLN","Sort=A","Dates=H","DateFormat=P","Fill=—","Direction=H","UseDPDF=Y")</f>
        <v>0</v>
      </c>
      <c r="S22" s="13">
        <f>_xll.BDH("XOM US Equity","CF_DECR_INVEST","FQ3 2002","FQ3 2002","Currency=USD","Period=FQ","BEST_FPERIOD_OVERRIDE=FQ","FILING_STATUS=OR","SCALING_FORMAT=MLN","Sort=A","Dates=H","DateFormat=P","Fill=—","Direction=H","UseDPDF=Y")</f>
        <v>0</v>
      </c>
      <c r="T22" s="13">
        <f>_xll.BDH("XOM US Equity","CF_DECR_INVEST","FQ4 2002","FQ4 2002","Currency=USD","Period=FQ","BEST_FPERIOD_OVERRIDE=FQ","FILING_STATUS=OR","SCALING_FORMAT=MLN","Sort=A","Dates=H","DateFormat=P","Fill=—","Direction=H","UseDPDF=Y")</f>
        <v>0</v>
      </c>
      <c r="U22" s="13">
        <f>_xll.BDH("XOM US Equity","CF_DECR_INVEST","FQ1 2003","FQ1 2003","Currency=USD","Period=FQ","BEST_FPERIOD_OVERRIDE=FQ","FILING_STATUS=OR","SCALING_FORMAT=MLN","Sort=A","Dates=H","DateFormat=P","Fill=—","Direction=H","UseDPDF=Y")</f>
        <v>0</v>
      </c>
      <c r="V22" s="13">
        <f>_xll.BDH("XOM US Equity","CF_DECR_INVEST","FQ2 2003","FQ2 2003","Currency=USD","Period=FQ","BEST_FPERIOD_OVERRIDE=FQ","FILING_STATUS=OR","SCALING_FORMAT=MLN","Sort=A","Dates=H","DateFormat=P","Fill=—","Direction=H","UseDPDF=Y")</f>
        <v>0</v>
      </c>
      <c r="W22" s="13">
        <f>_xll.BDH("XOM US Equity","CF_DECR_INVEST","FQ3 2003","FQ3 2003","Currency=USD","Period=FQ","BEST_FPERIOD_OVERRIDE=FQ","FILING_STATUS=OR","SCALING_FORMAT=MLN","Sort=A","Dates=H","DateFormat=P","Fill=—","Direction=H","UseDPDF=Y")</f>
        <v>0</v>
      </c>
      <c r="X22" s="13">
        <f>_xll.BDH("XOM US Equity","CF_DECR_INVEST","FQ4 2003","FQ4 2003","Currency=USD","Period=FQ","BEST_FPERIOD_OVERRIDE=FQ","FILING_STATUS=OR","SCALING_FORMAT=MLN","Sort=A","Dates=H","DateFormat=P","Fill=—","Direction=H","UseDPDF=Y")</f>
        <v>0</v>
      </c>
      <c r="Y22" s="13">
        <f>_xll.BDH("XOM US Equity","CF_DECR_INVEST","FQ1 2004","FQ1 2004","Currency=USD","Period=FQ","BEST_FPERIOD_OVERRIDE=FQ","FILING_STATUS=OR","SCALING_FORMAT=MLN","Sort=A","Dates=H","DateFormat=P","Fill=—","Direction=H","UseDPDF=Y")</f>
        <v>0</v>
      </c>
      <c r="Z22" s="13">
        <f>_xll.BDH("XOM US Equity","CF_DECR_INVEST","FQ2 2004","FQ2 2004","Currency=USD","Period=FQ","BEST_FPERIOD_OVERRIDE=FQ","FILING_STATUS=OR","SCALING_FORMAT=MLN","Sort=A","Dates=H","DateFormat=P","Fill=—","Direction=H","UseDPDF=Y")</f>
        <v>0</v>
      </c>
      <c r="AA22" s="13">
        <f>_xll.BDH("XOM US Equity","CF_DECR_INVEST","FQ3 2004","FQ3 2004","Currency=USD","Period=FQ","BEST_FPERIOD_OVERRIDE=FQ","FILING_STATUS=OR","SCALING_FORMAT=MLN","Sort=A","Dates=H","DateFormat=P","Fill=—","Direction=H","UseDPDF=Y")</f>
        <v>0</v>
      </c>
      <c r="AB22" s="13">
        <f>_xll.BDH("XOM US Equity","CF_DECR_INVEST","FQ4 2004","FQ4 2004","Currency=USD","Period=FQ","BEST_FPERIOD_OVERRIDE=FQ","FILING_STATUS=OR","SCALING_FORMAT=MLN","Sort=A","Dates=H","DateFormat=P","Fill=—","Direction=H","UseDPDF=Y")</f>
        <v>0</v>
      </c>
      <c r="AC22" s="13">
        <f>_xll.BDH("XOM US Equity","CF_DECR_INVEST","FQ1 2005","FQ1 2005","Currency=USD","Period=FQ","BEST_FPERIOD_OVERRIDE=FQ","FILING_STATUS=OR","SCALING_FORMAT=MLN","Sort=A","Dates=H","DateFormat=P","Fill=—","Direction=H","UseDPDF=Y")</f>
        <v>0</v>
      </c>
      <c r="AD22" s="13">
        <f>_xll.BDH("XOM US Equity","CF_DECR_INVEST","FQ2 2005","FQ2 2005","Currency=USD","Period=FQ","BEST_FPERIOD_OVERRIDE=FQ","FILING_STATUS=OR","SCALING_FORMAT=MLN","Sort=A","Dates=H","DateFormat=P","Fill=—","Direction=H","UseDPDF=Y")</f>
        <v>0</v>
      </c>
      <c r="AE22" s="13">
        <f>_xll.BDH("XOM US Equity","CF_DECR_INVEST","FQ3 2005","FQ3 2005","Currency=USD","Period=FQ","BEST_FPERIOD_OVERRIDE=FQ","FILING_STATUS=OR","SCALING_FORMAT=MLN","Sort=A","Dates=H","DateFormat=P","Fill=—","Direction=H","UseDPDF=Y")</f>
        <v>0</v>
      </c>
      <c r="AF22" s="13">
        <f>_xll.BDH("XOM US Equity","CF_DECR_INVEST","FQ4 2005","FQ4 2005","Currency=USD","Period=FQ","BEST_FPERIOD_OVERRIDE=FQ","FILING_STATUS=OR","SCALING_FORMAT=MLN","Sort=A","Dates=H","DateFormat=P","Fill=—","Direction=H","UseDPDF=Y")</f>
        <v>0</v>
      </c>
      <c r="AG22" s="13">
        <f>_xll.BDH("XOM US Equity","CF_DECR_INVEST","FQ1 2006","FQ1 2006","Currency=USD","Period=FQ","BEST_FPERIOD_OVERRIDE=FQ","FILING_STATUS=OR","SCALING_FORMAT=MLN","Sort=A","Dates=H","DateFormat=P","Fill=—","Direction=H","UseDPDF=Y")</f>
        <v>0</v>
      </c>
      <c r="AH22" s="13">
        <f>_xll.BDH("XOM US Equity","CF_DECR_INVEST","FQ2 2006","FQ2 2006","Currency=USD","Period=FQ","BEST_FPERIOD_OVERRIDE=FQ","FILING_STATUS=OR","SCALING_FORMAT=MLN","Sort=A","Dates=H","DateFormat=P","Fill=—","Direction=H","UseDPDF=Y")</f>
        <v>0</v>
      </c>
      <c r="AI22" s="13">
        <f>_xll.BDH("XOM US Equity","CF_DECR_INVEST","FQ3 2006","FQ3 2006","Currency=USD","Period=FQ","BEST_FPERIOD_OVERRIDE=FQ","FILING_STATUS=OR","SCALING_FORMAT=MLN","Sort=A","Dates=H","DateFormat=P","Fill=—","Direction=H","UseDPDF=Y")</f>
        <v>0</v>
      </c>
      <c r="AJ22" s="13">
        <f>_xll.BDH("XOM US Equity","CF_DECR_INVEST","FQ4 2006","FQ4 2006","Currency=USD","Period=FQ","BEST_FPERIOD_OVERRIDE=FQ","FILING_STATUS=OR","SCALING_FORMAT=MLN","Sort=A","Dates=H","DateFormat=P","Fill=—","Direction=H","UseDPDF=Y")</f>
        <v>0</v>
      </c>
      <c r="AK22" s="13">
        <f>_xll.BDH("XOM US Equity","CF_DECR_INVEST","FQ1 2007","FQ1 2007","Currency=USD","Period=FQ","BEST_FPERIOD_OVERRIDE=FQ","FILING_STATUS=OR","SCALING_FORMAT=MLN","Sort=A","Dates=H","DateFormat=P","Fill=—","Direction=H","UseDPDF=Y")</f>
        <v>0</v>
      </c>
      <c r="AL22" s="13">
        <f>_xll.BDH("XOM US Equity","CF_DECR_INVEST","FQ2 2007","FQ2 2007","Currency=USD","Period=FQ","BEST_FPERIOD_OVERRIDE=FQ","FILING_STATUS=OR","SCALING_FORMAT=MLN","Sort=A","Dates=H","DateFormat=P","Fill=—","Direction=H","UseDPDF=Y")</f>
        <v>0</v>
      </c>
      <c r="AM22" s="13">
        <f>_xll.BDH("XOM US Equity","CF_DECR_INVEST","FQ3 2007","FQ3 2007","Currency=USD","Period=FQ","BEST_FPERIOD_OVERRIDE=FQ","FILING_STATUS=OR","SCALING_FORMAT=MLN","Sort=A","Dates=H","DateFormat=P","Fill=—","Direction=H","UseDPDF=Y")</f>
        <v>0</v>
      </c>
      <c r="AN22" s="13">
        <f>_xll.BDH("XOM US Equity","CF_DECR_INVEST","FQ4 2007","FQ4 2007","Currency=USD","Period=FQ","BEST_FPERIOD_OVERRIDE=FQ","FILING_STATUS=OR","SCALING_FORMAT=MLN","Sort=A","Dates=H","DateFormat=P","Fill=—","Direction=H","UseDPDF=Y")</f>
        <v>0</v>
      </c>
      <c r="AO22" s="13">
        <f>_xll.BDH("XOM US Equity","CF_DECR_INVEST","FQ1 2008","FQ1 2008","Currency=USD","Period=FQ","BEST_FPERIOD_OVERRIDE=FQ","FILING_STATUS=OR","SCALING_FORMAT=MLN","Sort=A","Dates=H","DateFormat=P","Fill=—","Direction=H","UseDPDF=Y")</f>
        <v>0</v>
      </c>
      <c r="AP22" s="13">
        <f>_xll.BDH("XOM US Equity","CF_DECR_INVEST","FQ2 2008","FQ2 2008","Currency=USD","Period=FQ","BEST_FPERIOD_OVERRIDE=FQ","FILING_STATUS=OR","SCALING_FORMAT=MLN","Sort=A","Dates=H","DateFormat=P","Fill=—","Direction=H","UseDPDF=Y")</f>
        <v>0</v>
      </c>
    </row>
    <row r="23" spans="1:42" x14ac:dyDescent="0.25">
      <c r="A23" s="10" t="s">
        <v>314</v>
      </c>
      <c r="B23" s="10" t="s">
        <v>315</v>
      </c>
      <c r="C23" s="13">
        <f>_xll.BDH("XOM US Equity","CF_INCR_INVEST","FQ3 1998","FQ3 1998","Currency=USD","Period=FQ","BEST_FPERIOD_OVERRIDE=FQ","FILING_STATUS=OR","SCALING_FORMAT=MLN","Sort=A","Dates=H","DateFormat=P","Fill=—","Direction=H","UseDPDF=Y")</f>
        <v>0</v>
      </c>
      <c r="D23" s="13">
        <f>_xll.BDH("XOM US Equity","CF_INCR_INVEST","FQ4 1998","FQ4 1998","Currency=USD","Period=FQ","BEST_FPERIOD_OVERRIDE=FQ","FILING_STATUS=OR","SCALING_FORMAT=MLN","Sort=A","Dates=H","DateFormat=P","Fill=—","Direction=H","UseDPDF=Y")</f>
        <v>0</v>
      </c>
      <c r="E23" s="13">
        <f>_xll.BDH("XOM US Equity","CF_INCR_INVEST","FQ1 1999","FQ1 1999","Currency=USD","Period=FQ","BEST_FPERIOD_OVERRIDE=FQ","FILING_STATUS=OR","SCALING_FORMAT=MLN","Sort=A","Dates=H","DateFormat=P","Fill=—","Direction=H","UseDPDF=Y")</f>
        <v>0</v>
      </c>
      <c r="F23" s="13">
        <f>_xll.BDH("XOM US Equity","CF_INCR_INVEST","FQ2 1999","FQ2 1999","Currency=USD","Period=FQ","BEST_FPERIOD_OVERRIDE=FQ","FILING_STATUS=OR","SCALING_FORMAT=MLN","Sort=A","Dates=H","DateFormat=P","Fill=—","Direction=H","UseDPDF=Y")</f>
        <v>0</v>
      </c>
      <c r="G23" s="13">
        <f>_xll.BDH("XOM US Equity","CF_INCR_INVEST","FQ3 1999","FQ3 1999","Currency=USD","Period=FQ","BEST_FPERIOD_OVERRIDE=FQ","FILING_STATUS=OR","SCALING_FORMAT=MLN","Sort=A","Dates=H","DateFormat=P","Fill=—","Direction=H","UseDPDF=Y")</f>
        <v>0</v>
      </c>
      <c r="H23" s="13">
        <f>_xll.BDH("XOM US Equity","CF_INCR_INVEST","FQ4 1999","FQ4 1999","Currency=USD","Period=FQ","BEST_FPERIOD_OVERRIDE=FQ","FILING_STATUS=OR","SCALING_FORMAT=MLN","Sort=A","Dates=H","DateFormat=P","Fill=—","Direction=H","UseDPDF=Y")</f>
        <v>0</v>
      </c>
      <c r="I23" s="13">
        <f>_xll.BDH("XOM US Equity","CF_INCR_INVEST","FQ1 2000","FQ1 2000","Currency=USD","Period=FQ","BEST_FPERIOD_OVERRIDE=FQ","FILING_STATUS=OR","SCALING_FORMAT=MLN","Sort=A","Dates=H","DateFormat=P","Fill=—","Direction=H","UseDPDF=Y")</f>
        <v>0</v>
      </c>
      <c r="J23" s="13">
        <f>_xll.BDH("XOM US Equity","CF_INCR_INVEST","FQ2 2000","FQ2 2000","Currency=USD","Period=FQ","BEST_FPERIOD_OVERRIDE=FQ","FILING_STATUS=OR","SCALING_FORMAT=MLN","Sort=A","Dates=H","DateFormat=P","Fill=—","Direction=H","UseDPDF=Y")</f>
        <v>0</v>
      </c>
      <c r="K23" s="13">
        <f>_xll.BDH("XOM US Equity","CF_INCR_INVEST","FQ3 2000","FQ3 2000","Currency=USD","Period=FQ","BEST_FPERIOD_OVERRIDE=FQ","FILING_STATUS=OR","SCALING_FORMAT=MLN","Sort=A","Dates=H","DateFormat=P","Fill=—","Direction=H","UseDPDF=Y")</f>
        <v>0</v>
      </c>
      <c r="L23" s="13">
        <f>_xll.BDH("XOM US Equity","CF_INCR_INVEST","FQ4 2000","FQ4 2000","Currency=USD","Period=FQ","BEST_FPERIOD_OVERRIDE=FQ","FILING_STATUS=OR","SCALING_FORMAT=MLN","Sort=A","Dates=H","DateFormat=P","Fill=—","Direction=H","UseDPDF=Y")</f>
        <v>0</v>
      </c>
      <c r="M23" s="13">
        <f>_xll.BDH("XOM US Equity","CF_INCR_INVEST","FQ1 2001","FQ1 2001","Currency=USD","Period=FQ","BEST_FPERIOD_OVERRIDE=FQ","FILING_STATUS=OR","SCALING_FORMAT=MLN","Sort=A","Dates=H","DateFormat=P","Fill=—","Direction=H","UseDPDF=Y")</f>
        <v>0</v>
      </c>
      <c r="N23" s="13">
        <f>_xll.BDH("XOM US Equity","CF_INCR_INVEST","FQ2 2001","FQ2 2001","Currency=USD","Period=FQ","BEST_FPERIOD_OVERRIDE=FQ","FILING_STATUS=OR","SCALING_FORMAT=MLN","Sort=A","Dates=H","DateFormat=P","Fill=—","Direction=H","UseDPDF=Y")</f>
        <v>0</v>
      </c>
      <c r="O23" s="13">
        <f>_xll.BDH("XOM US Equity","CF_INCR_INVEST","FQ3 2001","FQ3 2001","Currency=USD","Period=FQ","BEST_FPERIOD_OVERRIDE=FQ","FILING_STATUS=OR","SCALING_FORMAT=MLN","Sort=A","Dates=H","DateFormat=P","Fill=—","Direction=H","UseDPDF=Y")</f>
        <v>0</v>
      </c>
      <c r="P23" s="13">
        <f>_xll.BDH("XOM US Equity","CF_INCR_INVEST","FQ4 2001","FQ4 2001","Currency=USD","Period=FQ","BEST_FPERIOD_OVERRIDE=FQ","FILING_STATUS=OR","SCALING_FORMAT=MLN","Sort=A","Dates=H","DateFormat=P","Fill=—","Direction=H","UseDPDF=Y")</f>
        <v>0</v>
      </c>
      <c r="Q23" s="13">
        <f>_xll.BDH("XOM US Equity","CF_INCR_INVEST","FQ1 2002","FQ1 2002","Currency=USD","Period=FQ","BEST_FPERIOD_OVERRIDE=FQ","FILING_STATUS=OR","SCALING_FORMAT=MLN","Sort=A","Dates=H","DateFormat=P","Fill=—","Direction=H","UseDPDF=Y")</f>
        <v>0</v>
      </c>
      <c r="R23" s="13">
        <f>_xll.BDH("XOM US Equity","CF_INCR_INVEST","FQ2 2002","FQ2 2002","Currency=USD","Period=FQ","BEST_FPERIOD_OVERRIDE=FQ","FILING_STATUS=OR","SCALING_FORMAT=MLN","Sort=A","Dates=H","DateFormat=P","Fill=—","Direction=H","UseDPDF=Y")</f>
        <v>0</v>
      </c>
      <c r="S23" s="13">
        <f>_xll.BDH("XOM US Equity","CF_INCR_INVEST","FQ3 2002","FQ3 2002","Currency=USD","Period=FQ","BEST_FPERIOD_OVERRIDE=FQ","FILING_STATUS=OR","SCALING_FORMAT=MLN","Sort=A","Dates=H","DateFormat=P","Fill=—","Direction=H","UseDPDF=Y")</f>
        <v>0</v>
      </c>
      <c r="T23" s="13">
        <f>_xll.BDH("XOM US Equity","CF_INCR_INVEST","FQ4 2002","FQ4 2002","Currency=USD","Period=FQ","BEST_FPERIOD_OVERRIDE=FQ","FILING_STATUS=OR","SCALING_FORMAT=MLN","Sort=A","Dates=H","DateFormat=P","Fill=—","Direction=H","UseDPDF=Y")</f>
        <v>0</v>
      </c>
      <c r="U23" s="13">
        <f>_xll.BDH("XOM US Equity","CF_INCR_INVEST","FQ1 2003","FQ1 2003","Currency=USD","Period=FQ","BEST_FPERIOD_OVERRIDE=FQ","FILING_STATUS=OR","SCALING_FORMAT=MLN","Sort=A","Dates=H","DateFormat=P","Fill=—","Direction=H","UseDPDF=Y")</f>
        <v>0</v>
      </c>
      <c r="V23" s="13">
        <f>_xll.BDH("XOM US Equity","CF_INCR_INVEST","FQ2 2003","FQ2 2003","Currency=USD","Period=FQ","BEST_FPERIOD_OVERRIDE=FQ","FILING_STATUS=OR","SCALING_FORMAT=MLN","Sort=A","Dates=H","DateFormat=P","Fill=—","Direction=H","UseDPDF=Y")</f>
        <v>0</v>
      </c>
      <c r="W23" s="13">
        <f>_xll.BDH("XOM US Equity","CF_INCR_INVEST","FQ3 2003","FQ3 2003","Currency=USD","Period=FQ","BEST_FPERIOD_OVERRIDE=FQ","FILING_STATUS=OR","SCALING_FORMAT=MLN","Sort=A","Dates=H","DateFormat=P","Fill=—","Direction=H","UseDPDF=Y")</f>
        <v>0</v>
      </c>
      <c r="X23" s="13">
        <f>_xll.BDH("XOM US Equity","CF_INCR_INVEST","FQ4 2003","FQ4 2003","Currency=USD","Period=FQ","BEST_FPERIOD_OVERRIDE=FQ","FILING_STATUS=OR","SCALING_FORMAT=MLN","Sort=A","Dates=H","DateFormat=P","Fill=—","Direction=H","UseDPDF=Y")</f>
        <v>0</v>
      </c>
      <c r="Y23" s="13">
        <f>_xll.BDH("XOM US Equity","CF_INCR_INVEST","FQ1 2004","FQ1 2004","Currency=USD","Period=FQ","BEST_FPERIOD_OVERRIDE=FQ","FILING_STATUS=OR","SCALING_FORMAT=MLN","Sort=A","Dates=H","DateFormat=P","Fill=—","Direction=H","UseDPDF=Y")</f>
        <v>0</v>
      </c>
      <c r="Z23" s="13">
        <f>_xll.BDH("XOM US Equity","CF_INCR_INVEST","FQ2 2004","FQ2 2004","Currency=USD","Period=FQ","BEST_FPERIOD_OVERRIDE=FQ","FILING_STATUS=OR","SCALING_FORMAT=MLN","Sort=A","Dates=H","DateFormat=P","Fill=—","Direction=H","UseDPDF=Y")</f>
        <v>0</v>
      </c>
      <c r="AA23" s="13">
        <f>_xll.BDH("XOM US Equity","CF_INCR_INVEST","FQ3 2004","FQ3 2004","Currency=USD","Period=FQ","BEST_FPERIOD_OVERRIDE=FQ","FILING_STATUS=OR","SCALING_FORMAT=MLN","Sort=A","Dates=H","DateFormat=P","Fill=—","Direction=H","UseDPDF=Y")</f>
        <v>0</v>
      </c>
      <c r="AB23" s="13">
        <f>_xll.BDH("XOM US Equity","CF_INCR_INVEST","FQ4 2004","FQ4 2004","Currency=USD","Period=FQ","BEST_FPERIOD_OVERRIDE=FQ","FILING_STATUS=OR","SCALING_FORMAT=MLN","Sort=A","Dates=H","DateFormat=P","Fill=—","Direction=H","UseDPDF=Y")</f>
        <v>0</v>
      </c>
      <c r="AC23" s="13">
        <f>_xll.BDH("XOM US Equity","CF_INCR_INVEST","FQ1 2005","FQ1 2005","Currency=USD","Period=FQ","BEST_FPERIOD_OVERRIDE=FQ","FILING_STATUS=OR","SCALING_FORMAT=MLN","Sort=A","Dates=H","DateFormat=P","Fill=—","Direction=H","UseDPDF=Y")</f>
        <v>0</v>
      </c>
      <c r="AD23" s="13">
        <f>_xll.BDH("XOM US Equity","CF_INCR_INVEST","FQ2 2005","FQ2 2005","Currency=USD","Period=FQ","BEST_FPERIOD_OVERRIDE=FQ","FILING_STATUS=OR","SCALING_FORMAT=MLN","Sort=A","Dates=H","DateFormat=P","Fill=—","Direction=H","UseDPDF=Y")</f>
        <v>0</v>
      </c>
      <c r="AE23" s="13">
        <f>_xll.BDH("XOM US Equity","CF_INCR_INVEST","FQ3 2005","FQ3 2005","Currency=USD","Period=FQ","BEST_FPERIOD_OVERRIDE=FQ","FILING_STATUS=OR","SCALING_FORMAT=MLN","Sort=A","Dates=H","DateFormat=P","Fill=—","Direction=H","UseDPDF=Y")</f>
        <v>0</v>
      </c>
      <c r="AF23" s="13">
        <f>_xll.BDH("XOM US Equity","CF_INCR_INVEST","FQ4 2005","FQ4 2005","Currency=USD","Period=FQ","BEST_FPERIOD_OVERRIDE=FQ","FILING_STATUS=OR","SCALING_FORMAT=MLN","Sort=A","Dates=H","DateFormat=P","Fill=—","Direction=H","UseDPDF=Y")</f>
        <v>0</v>
      </c>
      <c r="AG23" s="13">
        <f>_xll.BDH("XOM US Equity","CF_INCR_INVEST","FQ1 2006","FQ1 2006","Currency=USD","Period=FQ","BEST_FPERIOD_OVERRIDE=FQ","FILING_STATUS=OR","SCALING_FORMAT=MLN","Sort=A","Dates=H","DateFormat=P","Fill=—","Direction=H","UseDPDF=Y")</f>
        <v>0</v>
      </c>
      <c r="AH23" s="13">
        <f>_xll.BDH("XOM US Equity","CF_INCR_INVEST","FQ2 2006","FQ2 2006","Currency=USD","Period=FQ","BEST_FPERIOD_OVERRIDE=FQ","FILING_STATUS=OR","SCALING_FORMAT=MLN","Sort=A","Dates=H","DateFormat=P","Fill=—","Direction=H","UseDPDF=Y")</f>
        <v>0</v>
      </c>
      <c r="AI23" s="13">
        <f>_xll.BDH("XOM US Equity","CF_INCR_INVEST","FQ3 2006","FQ3 2006","Currency=USD","Period=FQ","BEST_FPERIOD_OVERRIDE=FQ","FILING_STATUS=OR","SCALING_FORMAT=MLN","Sort=A","Dates=H","DateFormat=P","Fill=—","Direction=H","UseDPDF=Y")</f>
        <v>0</v>
      </c>
      <c r="AJ23" s="13">
        <f>_xll.BDH("XOM US Equity","CF_INCR_INVEST","FQ4 2006","FQ4 2006","Currency=USD","Period=FQ","BEST_FPERIOD_OVERRIDE=FQ","FILING_STATUS=OR","SCALING_FORMAT=MLN","Sort=A","Dates=H","DateFormat=P","Fill=—","Direction=H","UseDPDF=Y")</f>
        <v>0</v>
      </c>
      <c r="AK23" s="13">
        <f>_xll.BDH("XOM US Equity","CF_INCR_INVEST","FQ1 2007","FQ1 2007","Currency=USD","Period=FQ","BEST_FPERIOD_OVERRIDE=FQ","FILING_STATUS=OR","SCALING_FORMAT=MLN","Sort=A","Dates=H","DateFormat=P","Fill=—","Direction=H","UseDPDF=Y")</f>
        <v>0</v>
      </c>
      <c r="AL23" s="13">
        <f>_xll.BDH("XOM US Equity","CF_INCR_INVEST","FQ2 2007","FQ2 2007","Currency=USD","Period=FQ","BEST_FPERIOD_OVERRIDE=FQ","FILING_STATUS=OR","SCALING_FORMAT=MLN","Sort=A","Dates=H","DateFormat=P","Fill=—","Direction=H","UseDPDF=Y")</f>
        <v>0</v>
      </c>
      <c r="AM23" s="13">
        <f>_xll.BDH("XOM US Equity","CF_INCR_INVEST","FQ3 2007","FQ3 2007","Currency=USD","Period=FQ","BEST_FPERIOD_OVERRIDE=FQ","FILING_STATUS=OR","SCALING_FORMAT=MLN","Sort=A","Dates=H","DateFormat=P","Fill=—","Direction=H","UseDPDF=Y")</f>
        <v>0</v>
      </c>
      <c r="AN23" s="13">
        <f>_xll.BDH("XOM US Equity","CF_INCR_INVEST","FQ4 2007","FQ4 2007","Currency=USD","Period=FQ","BEST_FPERIOD_OVERRIDE=FQ","FILING_STATUS=OR","SCALING_FORMAT=MLN","Sort=A","Dates=H","DateFormat=P","Fill=—","Direction=H","UseDPDF=Y")</f>
        <v>0</v>
      </c>
      <c r="AO23" s="13">
        <f>_xll.BDH("XOM US Equity","CF_INCR_INVEST","FQ1 2008","FQ1 2008","Currency=USD","Period=FQ","BEST_FPERIOD_OVERRIDE=FQ","FILING_STATUS=OR","SCALING_FORMAT=MLN","Sort=A","Dates=H","DateFormat=P","Fill=—","Direction=H","UseDPDF=Y")</f>
        <v>0</v>
      </c>
      <c r="AP23" s="13">
        <f>_xll.BDH("XOM US Equity","CF_INCR_INVEST","FQ2 2008","FQ2 2008","Currency=USD","Period=FQ","BEST_FPERIOD_OVERRIDE=FQ","FILING_STATUS=OR","SCALING_FORMAT=MLN","Sort=A","Dates=H","DateFormat=P","Fill=—","Direction=H","UseDPDF=Y")</f>
        <v>0</v>
      </c>
    </row>
    <row r="24" spans="1:42" x14ac:dyDescent="0.25">
      <c r="A24" s="10" t="s">
        <v>316</v>
      </c>
      <c r="B24" s="10" t="s">
        <v>317</v>
      </c>
      <c r="C24" s="13">
        <f>_xll.BDH("XOM US Equity","OTHER_INVESTING_ACT_DETAILED","FQ3 1998","FQ3 1998","Currency=USD","Period=FQ","BEST_FPERIOD_OVERRIDE=FQ","FILING_STATUS=OR","SCALING_FORMAT=MLN","Sort=A","Dates=H","DateFormat=P","Fill=—","Direction=H","UseDPDF=Y")</f>
        <v>-380</v>
      </c>
      <c r="D24" s="13">
        <f>_xll.BDH("XOM US Equity","OTHER_INVESTING_ACT_DETAILED","FQ4 1998","FQ4 1998","Currency=USD","Period=FQ","BEST_FPERIOD_OVERRIDE=FQ","FILING_STATUS=OR","SCALING_FORMAT=MLN","Sort=A","Dates=H","DateFormat=P","Fill=—","Direction=H","UseDPDF=Y")</f>
        <v>462</v>
      </c>
      <c r="E24" s="13">
        <f>_xll.BDH("XOM US Equity","OTHER_INVESTING_ACT_DETAILED","FQ1 1999","FQ1 1999","Currency=USD","Period=FQ","BEST_FPERIOD_OVERRIDE=FQ","FILING_STATUS=OR","SCALING_FORMAT=MLN","Sort=A","Dates=H","DateFormat=P","Fill=—","Direction=H","UseDPDF=Y")</f>
        <v>385</v>
      </c>
      <c r="F24" s="13">
        <f>_xll.BDH("XOM US Equity","OTHER_INVESTING_ACT_DETAILED","FQ2 1999","FQ2 1999","Currency=USD","Period=FQ","BEST_FPERIOD_OVERRIDE=FQ","FILING_STATUS=OR","SCALING_FORMAT=MLN","Sort=A","Dates=H","DateFormat=P","Fill=—","Direction=H","UseDPDF=Y")</f>
        <v>-115</v>
      </c>
      <c r="G24" s="13">
        <f>_xll.BDH("XOM US Equity","OTHER_INVESTING_ACT_DETAILED","FQ3 1999","FQ3 1999","Currency=USD","Period=FQ","BEST_FPERIOD_OVERRIDE=FQ","FILING_STATUS=OR","SCALING_FORMAT=MLN","Sort=A","Dates=H","DateFormat=P","Fill=—","Direction=H","UseDPDF=Y")</f>
        <v>-198</v>
      </c>
      <c r="H24" s="13">
        <f>_xll.BDH("XOM US Equity","OTHER_INVESTING_ACT_DETAILED","FQ4 1999","FQ4 1999","Currency=USD","Period=FQ","BEST_FPERIOD_OVERRIDE=FQ","FILING_STATUS=OR","SCALING_FORMAT=MLN","Sort=A","Dates=H","DateFormat=P","Fill=—","Direction=H","UseDPDF=Y")</f>
        <v>-1062</v>
      </c>
      <c r="I24" s="13">
        <f>_xll.BDH("XOM US Equity","OTHER_INVESTING_ACT_DETAILED","FQ1 2000","FQ1 2000","Currency=USD","Period=FQ","BEST_FPERIOD_OVERRIDE=FQ","FILING_STATUS=OR","SCALING_FORMAT=MLN","Sort=A","Dates=H","DateFormat=P","Fill=—","Direction=H","UseDPDF=Y")</f>
        <v>645</v>
      </c>
      <c r="J24" s="13">
        <f>_xll.BDH("XOM US Equity","OTHER_INVESTING_ACT_DETAILED","FQ2 2000","FQ2 2000","Currency=USD","Period=FQ","BEST_FPERIOD_OVERRIDE=FQ","FILING_STATUS=OR","SCALING_FORMAT=MLN","Sort=A","Dates=H","DateFormat=P","Fill=—","Direction=H","UseDPDF=Y")</f>
        <v>54</v>
      </c>
      <c r="K24" s="13">
        <f>_xll.BDH("XOM US Equity","OTHER_INVESTING_ACT_DETAILED","FQ3 2000","FQ3 2000","Currency=USD","Period=FQ","BEST_FPERIOD_OVERRIDE=FQ","FILING_STATUS=OR","SCALING_FORMAT=MLN","Sort=A","Dates=H","DateFormat=P","Fill=—","Direction=H","UseDPDF=Y")</f>
        <v>-280</v>
      </c>
      <c r="L24" s="13">
        <f>_xll.BDH("XOM US Equity","OTHER_INVESTING_ACT_DETAILED","FQ4 2000","FQ4 2000","Currency=USD","Period=FQ","BEST_FPERIOD_OVERRIDE=FQ","FILING_STATUS=OR","SCALING_FORMAT=MLN","Sort=A","Dates=H","DateFormat=P","Fill=—","Direction=H","UseDPDF=Y")</f>
        <v>-1041</v>
      </c>
      <c r="M24" s="13">
        <f>_xll.BDH("XOM US Equity","OTHER_INVESTING_ACT_DETAILED","FQ1 2001","FQ1 2001","Currency=USD","Period=FQ","BEST_FPERIOD_OVERRIDE=FQ","FILING_STATUS=OR","SCALING_FORMAT=MLN","Sort=A","Dates=H","DateFormat=P","Fill=—","Direction=H","UseDPDF=Y")</f>
        <v>649</v>
      </c>
      <c r="N24" s="13">
        <f>_xll.BDH("XOM US Equity","OTHER_INVESTING_ACT_DETAILED","FQ2 2001","FQ2 2001","Currency=USD","Period=FQ","BEST_FPERIOD_OVERRIDE=FQ","FILING_STATUS=OR","SCALING_FORMAT=MLN","Sort=A","Dates=H","DateFormat=P","Fill=—","Direction=H","UseDPDF=Y")</f>
        <v>-338</v>
      </c>
      <c r="O24" s="13">
        <f>_xll.BDH("XOM US Equity","OTHER_INVESTING_ACT_DETAILED","FQ3 2001","FQ3 2001","Currency=USD","Period=FQ","BEST_FPERIOD_OVERRIDE=FQ","FILING_STATUS=OR","SCALING_FORMAT=MLN","Sort=A","Dates=H","DateFormat=P","Fill=—","Direction=H","UseDPDF=Y")</f>
        <v>-281</v>
      </c>
      <c r="P24" s="13">
        <f>_xll.BDH("XOM US Equity","OTHER_INVESTING_ACT_DETAILED","FQ4 2001","FQ4 2001","Currency=USD","Period=FQ","BEST_FPERIOD_OVERRIDE=FQ","FILING_STATUS=OR","SCALING_FORMAT=MLN","Sort=A","Dates=H","DateFormat=P","Fill=—","Direction=H","UseDPDF=Y")</f>
        <v>670</v>
      </c>
      <c r="Q24" s="13">
        <f>_xll.BDH("XOM US Equity","OTHER_INVESTING_ACT_DETAILED","FQ1 2002","FQ1 2002","Currency=USD","Period=FQ","BEST_FPERIOD_OVERRIDE=FQ","FILING_STATUS=OR","SCALING_FORMAT=MLN","Sort=A","Dates=H","DateFormat=P","Fill=—","Direction=H","UseDPDF=Y")</f>
        <v>421</v>
      </c>
      <c r="R24" s="13">
        <f>_xll.BDH("XOM US Equity","OTHER_INVESTING_ACT_DETAILED","FQ2 2002","FQ2 2002","Currency=USD","Period=FQ","BEST_FPERIOD_OVERRIDE=FQ","FILING_STATUS=OR","SCALING_FORMAT=MLN","Sort=A","Dates=H","DateFormat=P","Fill=—","Direction=H","UseDPDF=Y")</f>
        <v>-406</v>
      </c>
      <c r="S24" s="13">
        <f>_xll.BDH("XOM US Equity","OTHER_INVESTING_ACT_DETAILED","FQ3 2002","FQ3 2002","Currency=USD","Period=FQ","BEST_FPERIOD_OVERRIDE=FQ","FILING_STATUS=OR","SCALING_FORMAT=MLN","Sort=A","Dates=H","DateFormat=P","Fill=—","Direction=H","UseDPDF=Y")</f>
        <v>-452</v>
      </c>
      <c r="T24" s="13">
        <f>_xll.BDH("XOM US Equity","OTHER_INVESTING_ACT_DETAILED","FQ4 2002","FQ4 2002","Currency=USD","Period=FQ","BEST_FPERIOD_OVERRIDE=FQ","FILING_STATUS=OR","SCALING_FORMAT=MLN","Sort=A","Dates=H","DateFormat=P","Fill=—","Direction=H","UseDPDF=Y")</f>
        <v>-677</v>
      </c>
      <c r="U24" s="13">
        <f>_xll.BDH("XOM US Equity","OTHER_INVESTING_ACT_DETAILED","FQ1 2003","FQ1 2003","Currency=USD","Period=FQ","BEST_FPERIOD_OVERRIDE=FQ","FILING_STATUS=OR","SCALING_FORMAT=MLN","Sort=A","Dates=H","DateFormat=P","Fill=—","Direction=H","UseDPDF=Y")</f>
        <v>870</v>
      </c>
      <c r="V24" s="13">
        <f>_xll.BDH("XOM US Equity","OTHER_INVESTING_ACT_DETAILED","FQ2 2003","FQ2 2003","Currency=USD","Period=FQ","BEST_FPERIOD_OVERRIDE=FQ","FILING_STATUS=OR","SCALING_FORMAT=MLN","Sort=A","Dates=H","DateFormat=P","Fill=—","Direction=H","UseDPDF=Y")</f>
        <v>-590</v>
      </c>
      <c r="W24" s="13">
        <f>_xll.BDH("XOM US Equity","OTHER_INVESTING_ACT_DETAILED","FQ3 2003","FQ3 2003","Currency=USD","Period=FQ","BEST_FPERIOD_OVERRIDE=FQ","FILING_STATUS=OR","SCALING_FORMAT=MLN","Sort=A","Dates=H","DateFormat=P","Fill=—","Direction=H","UseDPDF=Y")</f>
        <v>-502</v>
      </c>
      <c r="X24" s="13">
        <f>_xll.BDH("XOM US Equity","OTHER_INVESTING_ACT_DETAILED","FQ4 2003","FQ4 2003","Currency=USD","Period=FQ","BEST_FPERIOD_OVERRIDE=FQ","FILING_STATUS=OR","SCALING_FORMAT=MLN","Sort=A","Dates=H","DateFormat=P","Fill=—","Direction=H","UseDPDF=Y")</f>
        <v>-51</v>
      </c>
      <c r="Y24" s="13">
        <f>_xll.BDH("XOM US Equity","OTHER_INVESTING_ACT_DETAILED","FQ1 2004","FQ1 2004","Currency=USD","Period=FQ","BEST_FPERIOD_OVERRIDE=FQ","FILING_STATUS=OR","SCALING_FORMAT=MLN","Sort=A","Dates=H","DateFormat=P","Fill=—","Direction=H","UseDPDF=Y")</f>
        <v>775</v>
      </c>
      <c r="Z24" s="13">
        <f>_xll.BDH("XOM US Equity","OTHER_INVESTING_ACT_DETAILED","FQ2 2004","FQ2 2004","Currency=USD","Period=FQ","BEST_FPERIOD_OVERRIDE=FQ","FILING_STATUS=OR","SCALING_FORMAT=MLN","Sort=A","Dates=H","DateFormat=P","Fill=—","Direction=H","UseDPDF=Y")</f>
        <v>-4565</v>
      </c>
      <c r="AA24" s="13">
        <f>_xll.BDH("XOM US Equity","OTHER_INVESTING_ACT_DETAILED","FQ3 2004","FQ3 2004","Currency=USD","Period=FQ","BEST_FPERIOD_OVERRIDE=FQ","FILING_STATUS=OR","SCALING_FORMAT=MLN","Sort=A","Dates=H","DateFormat=P","Fill=—","Direction=H","UseDPDF=Y")</f>
        <v>-603</v>
      </c>
      <c r="AB24" s="13">
        <f>_xll.BDH("XOM US Equity","OTHER_INVESTING_ACT_DETAILED","FQ4 2004","FQ4 2004","Currency=USD","Period=FQ","BEST_FPERIOD_OVERRIDE=FQ","FILING_STATUS=OR","SCALING_FORMAT=MLN","Sort=A","Dates=H","DateFormat=P","Fill=—","Direction=H","UseDPDF=Y")</f>
        <v>-1285</v>
      </c>
      <c r="AC24" s="13">
        <f>_xll.BDH("XOM US Equity","OTHER_INVESTING_ACT_DETAILED","FQ1 2005","FQ1 2005","Currency=USD","Period=FQ","BEST_FPERIOD_OVERRIDE=FQ","FILING_STATUS=OR","SCALING_FORMAT=MLN","Sort=A","Dates=H","DateFormat=P","Fill=—","Direction=H","UseDPDF=Y")</f>
        <v>-170</v>
      </c>
      <c r="AD24" s="13">
        <f>_xll.BDH("XOM US Equity","OTHER_INVESTING_ACT_DETAILED","FQ2 2005","FQ2 2005","Currency=USD","Period=FQ","BEST_FPERIOD_OVERRIDE=FQ","FILING_STATUS=OR","SCALING_FORMAT=MLN","Sort=A","Dates=H","DateFormat=P","Fill=—","Direction=H","UseDPDF=Y")</f>
        <v>-422</v>
      </c>
      <c r="AE24" s="13">
        <f>_xll.BDH("XOM US Equity","OTHER_INVESTING_ACT_DETAILED","FQ3 2005","FQ3 2005","Currency=USD","Period=FQ","BEST_FPERIOD_OVERRIDE=FQ","FILING_STATUS=OR","SCALING_FORMAT=MLN","Sort=A","Dates=H","DateFormat=P","Fill=—","Direction=H","UseDPDF=Y")</f>
        <v>-1427</v>
      </c>
      <c r="AF24" s="13">
        <f>_xll.BDH("XOM US Equity","OTHER_INVESTING_ACT_DETAILED","FQ4 2005","FQ4 2005","Currency=USD","Period=FQ","BEST_FPERIOD_OVERRIDE=FQ","FILING_STATUS=OR","SCALING_FORMAT=MLN","Sort=A","Dates=H","DateFormat=P","Fill=—","Direction=H","UseDPDF=Y")</f>
        <v>-448</v>
      </c>
      <c r="AG24" s="13">
        <f>_xll.BDH("XOM US Equity","OTHER_INVESTING_ACT_DETAILED","FQ1 2006","FQ1 2006","Currency=USD","Period=FQ","BEST_FPERIOD_OVERRIDE=FQ","FILING_STATUS=OR","SCALING_FORMAT=MLN","Sort=A","Dates=H","DateFormat=P","Fill=—","Direction=H","UseDPDF=Y")</f>
        <v>-167</v>
      </c>
      <c r="AH24" s="13">
        <f>_xll.BDH("XOM US Equity","OTHER_INVESTING_ACT_DETAILED","FQ2 2006","FQ2 2006","Currency=USD","Period=FQ","BEST_FPERIOD_OVERRIDE=FQ","FILING_STATUS=OR","SCALING_FORMAT=MLN","Sort=A","Dates=H","DateFormat=P","Fill=—","Direction=H","UseDPDF=Y")</f>
        <v>977</v>
      </c>
      <c r="AI24" s="13">
        <f>_xll.BDH("XOM US Equity","OTHER_INVESTING_ACT_DETAILED","FQ3 2006","FQ3 2006","Currency=USD","Period=FQ","BEST_FPERIOD_OVERRIDE=FQ","FILING_STATUS=OR","SCALING_FORMAT=MLN","Sort=A","Dates=H","DateFormat=P","Fill=—","Direction=H","UseDPDF=Y")</f>
        <v>-273</v>
      </c>
      <c r="AJ24" s="13">
        <f>_xll.BDH("XOM US Equity","OTHER_INVESTING_ACT_DETAILED","FQ4 2006","FQ4 2006","Currency=USD","Period=FQ","BEST_FPERIOD_OVERRIDE=FQ","FILING_STATUS=OR","SCALING_FORMAT=MLN","Sort=A","Dates=H","DateFormat=P","Fill=—","Direction=H","UseDPDF=Y")</f>
        <v>-2385</v>
      </c>
      <c r="AK24" s="13">
        <f>_xll.BDH("XOM US Equity","OTHER_INVESTING_ACT_DETAILED","FQ1 2007","FQ1 2007","Currency=USD","Period=FQ","BEST_FPERIOD_OVERRIDE=FQ","FILING_STATUS=OR","SCALING_FORMAT=MLN","Sort=A","Dates=H","DateFormat=P","Fill=—","Direction=H","UseDPDF=Y")</f>
        <v>-670</v>
      </c>
      <c r="AL24" s="13">
        <f>_xll.BDH("XOM US Equity","OTHER_INVESTING_ACT_DETAILED","FQ2 2007","FQ2 2007","Currency=USD","Period=FQ","BEST_FPERIOD_OVERRIDE=FQ","FILING_STATUS=OR","SCALING_FORMAT=MLN","Sort=A","Dates=H","DateFormat=P","Fill=—","Direction=H","UseDPDF=Y")</f>
        <v>-434</v>
      </c>
      <c r="AM24" s="13">
        <f>_xll.BDH("XOM US Equity","OTHER_INVESTING_ACT_DETAILED","FQ3 2007","FQ3 2007","Currency=USD","Period=FQ","BEST_FPERIOD_OVERRIDE=FQ","FILING_STATUS=OR","SCALING_FORMAT=MLN","Sort=A","Dates=H","DateFormat=P","Fill=—","Direction=H","UseDPDF=Y")</f>
        <v>-556</v>
      </c>
      <c r="AN24" s="13">
        <f>_xll.BDH("XOM US Equity","OTHER_INVESTING_ACT_DETAILED","FQ4 2007","FQ4 2007","Currency=USD","Period=FQ","BEST_FPERIOD_OVERRIDE=FQ","FILING_STATUS=OR","SCALING_FORMAT=MLN","Sort=A","Dates=H","DateFormat=P","Fill=—","Direction=H","UseDPDF=Y")</f>
        <v>3115</v>
      </c>
      <c r="AO24" s="13">
        <f>_xll.BDH("XOM US Equity","OTHER_INVESTING_ACT_DETAILED","FQ1 2008","FQ1 2008","Currency=USD","Period=FQ","BEST_FPERIOD_OVERRIDE=FQ","FILING_STATUS=OR","SCALING_FORMAT=MLN","Sort=A","Dates=H","DateFormat=P","Fill=—","Direction=H","UseDPDF=Y")</f>
        <v>-734</v>
      </c>
      <c r="AP24" s="13">
        <f>_xll.BDH("XOM US Equity","OTHER_INVESTING_ACT_DETAILED","FQ2 2008","FQ2 2008","Currency=USD","Period=FQ","BEST_FPERIOD_OVERRIDE=FQ","FILING_STATUS=OR","SCALING_FORMAT=MLN","Sort=A","Dates=H","DateFormat=P","Fill=—","Direction=H","UseDPDF=Y")</f>
        <v>-755</v>
      </c>
    </row>
    <row r="25" spans="1:42" x14ac:dyDescent="0.25">
      <c r="A25" s="6" t="s">
        <v>303</v>
      </c>
      <c r="B25" s="6" t="s">
        <v>318</v>
      </c>
      <c r="C25" s="16">
        <f>_xll.BDH("XOM US Equity","CF_CASH_FROM_INV_ACT","FQ3 1998","FQ3 1998","Currency=USD","Period=FQ","BEST_FPERIOD_OVERRIDE=FQ","FILING_STATUS=OR","SCALING_FORMAT=MLN","Sort=A","Dates=H","DateFormat=P","Fill=—","Direction=H","UseDPDF=Y")</f>
        <v>-2541</v>
      </c>
      <c r="D25" s="16">
        <f>_xll.BDH("XOM US Equity","CF_CASH_FROM_INV_ACT","FQ4 1998","FQ4 1998","Currency=USD","Period=FQ","BEST_FPERIOD_OVERRIDE=FQ","FILING_STATUS=OR","SCALING_FORMAT=MLN","Sort=A","Dates=H","DateFormat=P","Fill=—","Direction=H","UseDPDF=Y")</f>
        <v>-6433</v>
      </c>
      <c r="E25" s="16">
        <f>_xll.BDH("XOM US Equity","CF_CASH_FROM_INV_ACT","FQ1 1999","FQ1 1999","Currency=USD","Period=FQ","BEST_FPERIOD_OVERRIDE=FQ","FILING_STATUS=OR","SCALING_FORMAT=MLN","Sort=A","Dates=H","DateFormat=P","Fill=—","Direction=H","UseDPDF=Y")</f>
        <v>-1247</v>
      </c>
      <c r="F25" s="16">
        <f>_xll.BDH("XOM US Equity","CF_CASH_FROM_INV_ACT","FQ2 1999","FQ2 1999","Currency=USD","Period=FQ","BEST_FPERIOD_OVERRIDE=FQ","FILING_STATUS=OR","SCALING_FORMAT=MLN","Sort=A","Dates=H","DateFormat=P","Fill=—","Direction=H","UseDPDF=Y")</f>
        <v>-2124</v>
      </c>
      <c r="G25" s="16">
        <f>_xll.BDH("XOM US Equity","CF_CASH_FROM_INV_ACT","FQ3 1999","FQ3 1999","Currency=USD","Period=FQ","BEST_FPERIOD_OVERRIDE=FQ","FILING_STATUS=OR","SCALING_FORMAT=MLN","Sort=A","Dates=H","DateFormat=P","Fill=—","Direction=H","UseDPDF=Y")</f>
        <v>-1836</v>
      </c>
      <c r="H25" s="16">
        <f>_xll.BDH("XOM US Equity","CF_CASH_FROM_INV_ACT","FQ4 1999","FQ4 1999","Currency=USD","Period=FQ","BEST_FPERIOD_OVERRIDE=FQ","FILING_STATUS=OR","SCALING_FORMAT=MLN","Sort=A","Dates=H","DateFormat=P","Fill=—","Direction=H","UseDPDF=Y")</f>
        <v>-5778</v>
      </c>
      <c r="I25" s="16">
        <f>_xll.BDH("XOM US Equity","CF_CASH_FROM_INV_ACT","FQ1 2000","FQ1 2000","Currency=USD","Period=FQ","BEST_FPERIOD_OVERRIDE=FQ","FILING_STATUS=OR","SCALING_FORMAT=MLN","Sort=A","Dates=H","DateFormat=P","Fill=—","Direction=H","UseDPDF=Y")</f>
        <v>858</v>
      </c>
      <c r="J25" s="16">
        <f>_xll.BDH("XOM US Equity","CF_CASH_FROM_INV_ACT","FQ2 2000","FQ2 2000","Currency=USD","Period=FQ","BEST_FPERIOD_OVERRIDE=FQ","FILING_STATUS=OR","SCALING_FORMAT=MLN","Sort=A","Dates=H","DateFormat=P","Fill=—","Direction=H","UseDPDF=Y")</f>
        <v>-751</v>
      </c>
      <c r="K25" s="16">
        <f>_xll.BDH("XOM US Equity","CF_CASH_FROM_INV_ACT","FQ3 2000","FQ3 2000","Currency=USD","Period=FQ","BEST_FPERIOD_OVERRIDE=FQ","FILING_STATUS=OR","SCALING_FORMAT=MLN","Sort=A","Dates=H","DateFormat=P","Fill=—","Direction=H","UseDPDF=Y")</f>
        <v>-1810</v>
      </c>
      <c r="L25" s="16">
        <f>_xll.BDH("XOM US Equity","CF_CASH_FROM_INV_ACT","FQ4 2000","FQ4 2000","Currency=USD","Period=FQ","BEST_FPERIOD_OVERRIDE=FQ","FILING_STATUS=OR","SCALING_FORMAT=MLN","Sort=A","Dates=H","DateFormat=P","Fill=—","Direction=H","UseDPDF=Y")</f>
        <v>-1595</v>
      </c>
      <c r="M25" s="16">
        <f>_xll.BDH("XOM US Equity","CF_CASH_FROM_INV_ACT","FQ1 2001","FQ1 2001","Currency=USD","Period=FQ","BEST_FPERIOD_OVERRIDE=FQ","FILING_STATUS=OR","SCALING_FORMAT=MLN","Sort=A","Dates=H","DateFormat=P","Fill=—","Direction=H","UseDPDF=Y")</f>
        <v>-1092</v>
      </c>
      <c r="N25" s="16">
        <f>_xll.BDH("XOM US Equity","CF_CASH_FROM_INV_ACT","FQ2 2001","FQ2 2001","Currency=USD","Period=FQ","BEST_FPERIOD_OVERRIDE=FQ","FILING_STATUS=OR","SCALING_FORMAT=MLN","Sort=A","Dates=H","DateFormat=P","Fill=—","Direction=H","UseDPDF=Y")</f>
        <v>-2222</v>
      </c>
      <c r="O25" s="16">
        <f>_xll.BDH("XOM US Equity","CF_CASH_FROM_INV_ACT","FQ3 2001","FQ3 2001","Currency=USD","Period=FQ","BEST_FPERIOD_OVERRIDE=FQ","FILING_STATUS=OR","SCALING_FORMAT=MLN","Sort=A","Dates=H","DateFormat=P","Fill=—","Direction=H","UseDPDF=Y")</f>
        <v>-2631</v>
      </c>
      <c r="P25" s="16">
        <f>_xll.BDH("XOM US Equity","CF_CASH_FROM_INV_ACT","FQ4 2001","FQ4 2001","Currency=USD","Period=FQ","BEST_FPERIOD_OVERRIDE=FQ","FILING_STATUS=OR","SCALING_FORMAT=MLN","Sort=A","Dates=H","DateFormat=P","Fill=—","Direction=H","UseDPDF=Y")</f>
        <v>-2266</v>
      </c>
      <c r="Q25" s="16">
        <f>_xll.BDH("XOM US Equity","CF_CASH_FROM_INV_ACT","FQ1 2002","FQ1 2002","Currency=USD","Period=FQ","BEST_FPERIOD_OVERRIDE=FQ","FILING_STATUS=OR","SCALING_FORMAT=MLN","Sort=A","Dates=H","DateFormat=P","Fill=—","Direction=H","UseDPDF=Y")</f>
        <v>-1237</v>
      </c>
      <c r="R25" s="16">
        <f>_xll.BDH("XOM US Equity","CF_CASH_FROM_INV_ACT","FQ2 2002","FQ2 2002","Currency=USD","Period=FQ","BEST_FPERIOD_OVERRIDE=FQ","FILING_STATUS=OR","SCALING_FORMAT=MLN","Sort=A","Dates=H","DateFormat=P","Fill=—","Direction=H","UseDPDF=Y")</f>
        <v>-3133</v>
      </c>
      <c r="S25" s="16">
        <f>_xll.BDH("XOM US Equity","CF_CASH_FROM_INV_ACT","FQ3 2002","FQ3 2002","Currency=USD","Period=FQ","BEST_FPERIOD_OVERRIDE=FQ","FILING_STATUS=OR","SCALING_FORMAT=MLN","Sort=A","Dates=H","DateFormat=P","Fill=—","Direction=H","UseDPDF=Y")</f>
        <v>-3155</v>
      </c>
      <c r="T25" s="16">
        <f>_xll.BDH("XOM US Equity","CF_CASH_FROM_INV_ACT","FQ4 2002","FQ4 2002","Currency=USD","Period=FQ","BEST_FPERIOD_OVERRIDE=FQ","FILING_STATUS=OR","SCALING_FORMAT=MLN","Sort=A","Dates=H","DateFormat=P","Fill=—","Direction=H","UseDPDF=Y")</f>
        <v>-2233</v>
      </c>
      <c r="U25" s="16">
        <f>_xll.BDH("XOM US Equity","CF_CASH_FROM_INV_ACT","FQ1 2003","FQ1 2003","Currency=USD","Period=FQ","BEST_FPERIOD_OVERRIDE=FQ","FILING_STATUS=OR","SCALING_FORMAT=MLN","Sort=A","Dates=H","DateFormat=P","Fill=—","Direction=H","UseDPDF=Y")</f>
        <v>-735</v>
      </c>
      <c r="V25" s="16">
        <f>_xll.BDH("XOM US Equity","CF_CASH_FROM_INV_ACT","FQ2 2003","FQ2 2003","Currency=USD","Period=FQ","BEST_FPERIOD_OVERRIDE=FQ","FILING_STATUS=OR","SCALING_FORMAT=MLN","Sort=A","Dates=H","DateFormat=P","Fill=—","Direction=H","UseDPDF=Y")</f>
        <v>-3636</v>
      </c>
      <c r="W25" s="16">
        <f>_xll.BDH("XOM US Equity","CF_CASH_FROM_INV_ACT","FQ3 2003","FQ3 2003","Currency=USD","Period=FQ","BEST_FPERIOD_OVERRIDE=FQ","FILING_STATUS=OR","SCALING_FORMAT=MLN","Sort=A","Dates=H","DateFormat=P","Fill=—","Direction=H","UseDPDF=Y")</f>
        <v>-3335</v>
      </c>
      <c r="X25" s="16">
        <f>_xll.BDH("XOM US Equity","CF_CASH_FROM_INV_ACT","FQ4 2003","FQ4 2003","Currency=USD","Period=FQ","BEST_FPERIOD_OVERRIDE=FQ","FILING_STATUS=OR","SCALING_FORMAT=MLN","Sort=A","Dates=H","DateFormat=P","Fill=—","Direction=H","UseDPDF=Y")</f>
        <v>-3136</v>
      </c>
      <c r="Y25" s="16">
        <f>_xll.BDH("XOM US Equity","CF_CASH_FROM_INV_ACT","FQ1 2004","FQ1 2004","Currency=USD","Period=FQ","BEST_FPERIOD_OVERRIDE=FQ","FILING_STATUS=OR","SCALING_FORMAT=MLN","Sort=A","Dates=H","DateFormat=P","Fill=—","Direction=H","UseDPDF=Y")</f>
        <v>-1581</v>
      </c>
      <c r="Z25" s="16">
        <f>_xll.BDH("XOM US Equity","CF_CASH_FROM_INV_ACT","FQ2 2004","FQ2 2004","Currency=USD","Period=FQ","BEST_FPERIOD_OVERRIDE=FQ","FILING_STATUS=OR","SCALING_FORMAT=MLN","Sort=A","Dates=H","DateFormat=P","Fill=—","Direction=H","UseDPDF=Y")</f>
        <v>-6569</v>
      </c>
      <c r="AA25" s="16">
        <f>_xll.BDH("XOM US Equity","CF_CASH_FROM_INV_ACT","FQ3 2004","FQ3 2004","Currency=USD","Period=FQ","BEST_FPERIOD_OVERRIDE=FQ","FILING_STATUS=OR","SCALING_FORMAT=MLN","Sort=A","Dates=H","DateFormat=P","Fill=—","Direction=H","UseDPDF=Y")</f>
        <v>-2870</v>
      </c>
      <c r="AB25" s="16">
        <f>_xll.BDH("XOM US Equity","CF_CASH_FROM_INV_ACT","FQ4 2004","FQ4 2004","Currency=USD","Period=FQ","BEST_FPERIOD_OVERRIDE=FQ","FILING_STATUS=OR","SCALING_FORMAT=MLN","Sort=A","Dates=H","DateFormat=P","Fill=—","Direction=H","UseDPDF=Y")</f>
        <v>-3890</v>
      </c>
      <c r="AC25" s="16">
        <f>_xll.BDH("XOM US Equity","CF_CASH_FROM_INV_ACT","FQ1 2005","FQ1 2005","Currency=USD","Period=FQ","BEST_FPERIOD_OVERRIDE=FQ","FILING_STATUS=OR","SCALING_FORMAT=MLN","Sort=A","Dates=H","DateFormat=P","Fill=—","Direction=H","UseDPDF=Y")</f>
        <v>-1086</v>
      </c>
      <c r="AD25" s="16">
        <f>_xll.BDH("XOM US Equity","CF_CASH_FROM_INV_ACT","FQ2 2005","FQ2 2005","Currency=USD","Period=FQ","BEST_FPERIOD_OVERRIDE=FQ","FILING_STATUS=OR","SCALING_FORMAT=MLN","Sort=A","Dates=H","DateFormat=P","Fill=—","Direction=H","UseDPDF=Y")</f>
        <v>-2128</v>
      </c>
      <c r="AE25" s="16">
        <f>_xll.BDH("XOM US Equity","CF_CASH_FROM_INV_ACT","FQ3 2005","FQ3 2005","Currency=USD","Period=FQ","BEST_FPERIOD_OVERRIDE=FQ","FILING_STATUS=OR","SCALING_FORMAT=MLN","Sort=A","Dates=H","DateFormat=P","Fill=—","Direction=H","UseDPDF=Y")</f>
        <v>-4165</v>
      </c>
      <c r="AF25" s="16">
        <f>_xll.BDH("XOM US Equity","CF_CASH_FROM_INV_ACT","FQ4 2005","FQ4 2005","Currency=USD","Period=FQ","BEST_FPERIOD_OVERRIDE=FQ","FILING_STATUS=OR","SCALING_FORMAT=MLN","Sort=A","Dates=H","DateFormat=P","Fill=—","Direction=H","UseDPDF=Y")</f>
        <v>-2891</v>
      </c>
      <c r="AG25" s="16">
        <f>_xll.BDH("XOM US Equity","CF_CASH_FROM_INV_ACT","FQ1 2006","FQ1 2006","Currency=USD","Period=FQ","BEST_FPERIOD_OVERRIDE=FQ","FILING_STATUS=OR","SCALING_FORMAT=MLN","Sort=A","Dates=H","DateFormat=P","Fill=—","Direction=H","UseDPDF=Y")</f>
        <v>-3503</v>
      </c>
      <c r="AH25" s="16">
        <f>_xll.BDH("XOM US Equity","CF_CASH_FROM_INV_ACT","FQ2 2006","FQ2 2006","Currency=USD","Period=FQ","BEST_FPERIOD_OVERRIDE=FQ","FILING_STATUS=OR","SCALING_FORMAT=MLN","Sort=A","Dates=H","DateFormat=P","Fill=—","Direction=H","UseDPDF=Y")</f>
        <v>-3273</v>
      </c>
      <c r="AI25" s="16">
        <f>_xll.BDH("XOM US Equity","CF_CASH_FROM_INV_ACT","FQ3 2006","FQ3 2006","Currency=USD","Period=FQ","BEST_FPERIOD_OVERRIDE=FQ","FILING_STATUS=OR","SCALING_FORMAT=MLN","Sort=A","Dates=H","DateFormat=P","Fill=—","Direction=H","UseDPDF=Y")</f>
        <v>-3988</v>
      </c>
      <c r="AJ25" s="16">
        <f>_xll.BDH("XOM US Equity","CF_CASH_FROM_INV_ACT","FQ4 2006","FQ4 2006","Currency=USD","Period=FQ","BEST_FPERIOD_OVERRIDE=FQ","FILING_STATUS=OR","SCALING_FORMAT=MLN","Sort=A","Dates=H","DateFormat=P","Fill=—","Direction=H","UseDPDF=Y")</f>
        <v>-3466</v>
      </c>
      <c r="AK25" s="16">
        <f>_xll.BDH("XOM US Equity","CF_CASH_FROM_INV_ACT","FQ1 2007","FQ1 2007","Currency=USD","Period=FQ","BEST_FPERIOD_OVERRIDE=FQ","FILING_STATUS=OR","SCALING_FORMAT=MLN","Sort=A","Dates=H","DateFormat=P","Fill=—","Direction=H","UseDPDF=Y")</f>
        <v>-3238</v>
      </c>
      <c r="AL25" s="16">
        <f>_xll.BDH("XOM US Equity","CF_CASH_FROM_INV_ACT","FQ2 2007","FQ2 2007","Currency=USD","Period=FQ","BEST_FPERIOD_OVERRIDE=FQ","FILING_STATUS=OR","SCALING_FORMAT=MLN","Sort=A","Dates=H","DateFormat=P","Fill=—","Direction=H","UseDPDF=Y")</f>
        <v>-3085</v>
      </c>
      <c r="AM25" s="16">
        <f>_xll.BDH("XOM US Equity","CF_CASH_FROM_INV_ACT","FQ3 2007","FQ3 2007","Currency=USD","Period=FQ","BEST_FPERIOD_OVERRIDE=FQ","FILING_STATUS=OR","SCALING_FORMAT=MLN","Sort=A","Dates=H","DateFormat=P","Fill=—","Direction=H","UseDPDF=Y")</f>
        <v>-3742</v>
      </c>
      <c r="AN25" s="16">
        <f>_xll.BDH("XOM US Equity","CF_CASH_FROM_INV_ACT","FQ4 2007","FQ4 2007","Currency=USD","Period=FQ","BEST_FPERIOD_OVERRIDE=FQ","FILING_STATUS=OR","SCALING_FORMAT=MLN","Sort=A","Dates=H","DateFormat=P","Fill=—","Direction=H","UseDPDF=Y")</f>
        <v>337</v>
      </c>
      <c r="AO25" s="16">
        <f>_xll.BDH("XOM US Equity","CF_CASH_FROM_INV_ACT","FQ1 2008","FQ1 2008","Currency=USD","Period=FQ","BEST_FPERIOD_OVERRIDE=FQ","FILING_STATUS=OR","SCALING_FORMAT=MLN","Sort=A","Dates=H","DateFormat=P","Fill=—","Direction=H","UseDPDF=Y")</f>
        <v>-4300</v>
      </c>
      <c r="AP25" s="16">
        <f>_xll.BDH("XOM US Equity","CF_CASH_FROM_INV_ACT","FQ2 2008","FQ2 2008","Currency=USD","Period=FQ","BEST_FPERIOD_OVERRIDE=FQ","FILING_STATUS=OR","SCALING_FORMAT=MLN","Sort=A","Dates=H","DateFormat=P","Fill=—","Direction=H","UseDPDF=Y")</f>
        <v>-4468</v>
      </c>
    </row>
    <row r="26" spans="1:42" x14ac:dyDescent="0.25">
      <c r="A26" s="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1:42" x14ac:dyDescent="0.25">
      <c r="A27" s="6" t="s">
        <v>319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spans="1:42" x14ac:dyDescent="0.25">
      <c r="A28" s="10" t="s">
        <v>320</v>
      </c>
      <c r="B28" s="10" t="s">
        <v>321</v>
      </c>
      <c r="C28" s="13">
        <f>_xll.BDH("XOM US Equity","CF_DVD_PAID","FQ3 1998","FQ3 1998","Currency=USD","Period=FQ","BEST_FPERIOD_OVERRIDE=FQ","FILING_STATUS=OR","SCALING_FORMAT=MLN","Sort=A","Dates=H","DateFormat=P","Fill=—","Direction=H","UseDPDF=Y")</f>
        <v>-852</v>
      </c>
      <c r="D28" s="13">
        <f>_xll.BDH("XOM US Equity","CF_DVD_PAID","FQ4 1998","FQ4 1998","Currency=USD","Period=FQ","BEST_FPERIOD_OVERRIDE=FQ","FILING_STATUS=OR","SCALING_FORMAT=MLN","Sort=A","Dates=H","DateFormat=P","Fill=—","Direction=H","UseDPDF=Y")</f>
        <v>-2829</v>
      </c>
      <c r="E28" s="13">
        <f>_xll.BDH("XOM US Equity","CF_DVD_PAID","FQ1 1999","FQ1 1999","Currency=USD","Period=FQ","BEST_FPERIOD_OVERRIDE=FQ","FILING_STATUS=OR","SCALING_FORMAT=MLN","Sort=A","Dates=H","DateFormat=P","Fill=—","Direction=H","UseDPDF=Y")</f>
        <v>-998</v>
      </c>
      <c r="F28" s="13">
        <f>_xll.BDH("XOM US Equity","CF_DVD_PAID","FQ2 1999","FQ2 1999","Currency=USD","Period=FQ","BEST_FPERIOD_OVERRIDE=FQ","FILING_STATUS=OR","SCALING_FORMAT=MLN","Sort=A","Dates=H","DateFormat=P","Fill=—","Direction=H","UseDPDF=Y")</f>
        <v>-996</v>
      </c>
      <c r="G28" s="13">
        <f>_xll.BDH("XOM US Equity","CF_DVD_PAID","FQ3 1999","FQ3 1999","Currency=USD","Period=FQ","BEST_FPERIOD_OVERRIDE=FQ","FILING_STATUS=OR","SCALING_FORMAT=MLN","Sort=A","Dates=H","DateFormat=P","Fill=—","Direction=H","UseDPDF=Y")</f>
        <v>-995</v>
      </c>
      <c r="H28" s="13">
        <f>_xll.BDH("XOM US Equity","CF_DVD_PAID","FQ4 1999","FQ4 1999","Currency=USD","Period=FQ","BEST_FPERIOD_OVERRIDE=FQ","FILING_STATUS=OR","SCALING_FORMAT=MLN","Sort=A","Dates=H","DateFormat=P","Fill=—","Direction=H","UseDPDF=Y")</f>
        <v>-2883</v>
      </c>
      <c r="I28" s="13">
        <f>_xll.BDH("XOM US Equity","CF_DVD_PAID","FQ1 2000","FQ1 2000","Currency=USD","Period=FQ","BEST_FPERIOD_OVERRIDE=FQ","FILING_STATUS=OR","SCALING_FORMAT=MLN","Sort=A","Dates=H","DateFormat=P","Fill=—","Direction=H","UseDPDF=Y")</f>
        <v>-1531</v>
      </c>
      <c r="J28" s="13">
        <f>_xll.BDH("XOM US Equity","CF_DVD_PAID","FQ2 2000","FQ2 2000","Currency=USD","Period=FQ","BEST_FPERIOD_OVERRIDE=FQ","FILING_STATUS=OR","SCALING_FORMAT=MLN","Sort=A","Dates=H","DateFormat=P","Fill=—","Direction=H","UseDPDF=Y")</f>
        <v>-1532</v>
      </c>
      <c r="K28" s="13">
        <f>_xll.BDH("XOM US Equity","CF_DVD_PAID","FQ3 2000","FQ3 2000","Currency=USD","Period=FQ","BEST_FPERIOD_OVERRIDE=FQ","FILING_STATUS=OR","SCALING_FORMAT=MLN","Sort=A","Dates=H","DateFormat=P","Fill=—","Direction=H","UseDPDF=Y")</f>
        <v>-1533</v>
      </c>
      <c r="L28" s="13">
        <f>_xll.BDH("XOM US Equity","CF_DVD_PAID","FQ4 2000","FQ4 2000","Currency=USD","Period=FQ","BEST_FPERIOD_OVERRIDE=FQ","FILING_STATUS=OR","SCALING_FORMAT=MLN","Sort=A","Dates=H","DateFormat=P","Fill=—","Direction=H","UseDPDF=Y")</f>
        <v>-1527</v>
      </c>
      <c r="M28" s="13">
        <f>_xll.BDH("XOM US Equity","CF_DVD_PAID","FQ1 2001","FQ1 2001","Currency=USD","Period=FQ","BEST_FPERIOD_OVERRIDE=FQ","FILING_STATUS=OR","SCALING_FORMAT=MLN","Sort=A","Dates=H","DateFormat=P","Fill=—","Direction=H","UseDPDF=Y")</f>
        <v>-1522</v>
      </c>
      <c r="N28" s="13">
        <f>_xll.BDH("XOM US Equity","CF_DVD_PAID","FQ2 2001","FQ2 2001","Currency=USD","Period=FQ","BEST_FPERIOD_OVERRIDE=FQ","FILING_STATUS=OR","SCALING_FORMAT=MLN","Sort=A","Dates=H","DateFormat=P","Fill=—","Direction=H","UseDPDF=Y")</f>
        <v>-1515</v>
      </c>
      <c r="O28" s="13">
        <f>_xll.BDH("XOM US Equity","CF_DVD_PAID","FQ3 2001","FQ3 2001","Currency=USD","Period=FQ","BEST_FPERIOD_OVERRIDE=FQ","FILING_STATUS=OR","SCALING_FORMAT=MLN","Sort=A","Dates=H","DateFormat=P","Fill=—","Direction=H","UseDPDF=Y")</f>
        <v>-1646</v>
      </c>
      <c r="P28" s="13">
        <f>_xll.BDH("XOM US Equity","CF_DVD_PAID","FQ4 2001","FQ4 2001","Currency=USD","Period=FQ","BEST_FPERIOD_OVERRIDE=FQ","FILING_STATUS=OR","SCALING_FORMAT=MLN","Sort=A","Dates=H","DateFormat=P","Fill=—","Direction=H","UseDPDF=Y")</f>
        <v>-1571</v>
      </c>
      <c r="Q28" s="13">
        <f>_xll.BDH("XOM US Equity","CF_DVD_PAID","FQ1 2002","FQ1 2002","Currency=USD","Period=FQ","BEST_FPERIOD_OVERRIDE=FQ","FILING_STATUS=OR","SCALING_FORMAT=MLN","Sort=A","Dates=H","DateFormat=P","Fill=—","Direction=H","UseDPDF=Y")</f>
        <v>-1563</v>
      </c>
      <c r="R28" s="13">
        <f>_xll.BDH("XOM US Equity","CF_DVD_PAID","FQ2 2002","FQ2 2002","Currency=USD","Period=FQ","BEST_FPERIOD_OVERRIDE=FQ","FILING_STATUS=OR","SCALING_FORMAT=MLN","Sort=A","Dates=H","DateFormat=P","Fill=—","Direction=H","UseDPDF=Y")</f>
        <v>-1558</v>
      </c>
      <c r="S28" s="13">
        <f>_xll.BDH("XOM US Equity","CF_DVD_PAID","FQ3 2002","FQ3 2002","Currency=USD","Period=FQ","BEST_FPERIOD_OVERRIDE=FQ","FILING_STATUS=OR","SCALING_FORMAT=MLN","Sort=A","Dates=H","DateFormat=P","Fill=—","Direction=H","UseDPDF=Y")</f>
        <v>-1551</v>
      </c>
      <c r="T28" s="13">
        <f>_xll.BDH("XOM US Equity","CF_DVD_PAID","FQ4 2002","FQ4 2002","Currency=USD","Period=FQ","BEST_FPERIOD_OVERRIDE=FQ","FILING_STATUS=OR","SCALING_FORMAT=MLN","Sort=A","Dates=H","DateFormat=P","Fill=—","Direction=H","UseDPDF=Y")</f>
        <v>-1545</v>
      </c>
      <c r="U28" s="13">
        <f>_xll.BDH("XOM US Equity","CF_DVD_PAID","FQ1 2003","FQ1 2003","Currency=USD","Period=FQ","BEST_FPERIOD_OVERRIDE=FQ","FILING_STATUS=OR","SCALING_FORMAT=MLN","Sort=A","Dates=H","DateFormat=P","Fill=—","Direction=H","UseDPDF=Y")</f>
        <v>-1541</v>
      </c>
      <c r="V28" s="13">
        <f>_xll.BDH("XOM US Equity","CF_DVD_PAID","FQ2 2003","FQ2 2003","Currency=USD","Period=FQ","BEST_FPERIOD_OVERRIDE=FQ","FILING_STATUS=OR","SCALING_FORMAT=MLN","Sort=A","Dates=H","DateFormat=P","Fill=—","Direction=H","UseDPDF=Y")</f>
        <v>-1667</v>
      </c>
      <c r="W28" s="13">
        <f>_xll.BDH("XOM US Equity","CF_DVD_PAID","FQ3 2003","FQ3 2003","Currency=USD","Period=FQ","BEST_FPERIOD_OVERRIDE=FQ","FILING_STATUS=OR","SCALING_FORMAT=MLN","Sort=A","Dates=H","DateFormat=P","Fill=—","Direction=H","UseDPDF=Y")</f>
        <v>-1658</v>
      </c>
      <c r="X28" s="13">
        <f>_xll.BDH("XOM US Equity","CF_DVD_PAID","FQ4 2003","FQ4 2003","Currency=USD","Period=FQ","BEST_FPERIOD_OVERRIDE=FQ","FILING_STATUS=OR","SCALING_FORMAT=MLN","Sort=A","Dates=H","DateFormat=P","Fill=—","Direction=H","UseDPDF=Y")</f>
        <v>-1649</v>
      </c>
      <c r="Y28" s="13">
        <f>_xll.BDH("XOM US Equity","CF_DVD_PAID","FQ1 2004","FQ1 2004","Currency=USD","Period=FQ","BEST_FPERIOD_OVERRIDE=FQ","FILING_STATUS=OR","SCALING_FORMAT=MLN","Sort=A","Dates=H","DateFormat=P","Fill=—","Direction=H","UseDPDF=Y")</f>
        <v>-1642</v>
      </c>
      <c r="Z28" s="13">
        <f>_xll.BDH("XOM US Equity","CF_DVD_PAID","FQ2 2004","FQ2 2004","Currency=USD","Period=FQ","BEST_FPERIOD_OVERRIDE=FQ","FILING_STATUS=OR","SCALING_FORMAT=MLN","Sort=A","Dates=H","DateFormat=P","Fill=—","Direction=H","UseDPDF=Y")</f>
        <v>-1763</v>
      </c>
      <c r="AA28" s="13">
        <f>_xll.BDH("XOM US Equity","CF_DVD_PAID","FQ3 2004","FQ3 2004","Currency=USD","Period=FQ","BEST_FPERIOD_OVERRIDE=FQ","FILING_STATUS=OR","SCALING_FORMAT=MLN","Sort=A","Dates=H","DateFormat=P","Fill=—","Direction=H","UseDPDF=Y")</f>
        <v>-1753</v>
      </c>
      <c r="AB28" s="13">
        <f>_xll.BDH("XOM US Equity","CF_DVD_PAID","FQ4 2004","FQ4 2004","Currency=USD","Period=FQ","BEST_FPERIOD_OVERRIDE=FQ","FILING_STATUS=OR","SCALING_FORMAT=MLN","Sort=A","Dates=H","DateFormat=P","Fill=—","Direction=H","UseDPDF=Y")</f>
        <v>-1738</v>
      </c>
      <c r="AC28" s="13">
        <f>_xll.BDH("XOM US Equity","CF_DVD_PAID","FQ1 2005","FQ1 2005","Currency=USD","Period=FQ","BEST_FPERIOD_OVERRIDE=FQ","FILING_STATUS=OR","SCALING_FORMAT=MLN","Sort=A","Dates=H","DateFormat=P","Fill=—","Direction=H","UseDPDF=Y")</f>
        <v>-1728</v>
      </c>
      <c r="AD28" s="13">
        <f>_xll.BDH("XOM US Equity","CF_DVD_PAID","FQ2 2005","FQ2 2005","Currency=USD","Period=FQ","BEST_FPERIOD_OVERRIDE=FQ","FILING_STATUS=OR","SCALING_FORMAT=MLN","Sort=A","Dates=H","DateFormat=P","Fill=—","Direction=H","UseDPDF=Y")</f>
        <v>-1840</v>
      </c>
      <c r="AE28" s="13">
        <f>_xll.BDH("XOM US Equity","CF_DVD_PAID","FQ3 2005","FQ3 2005","Currency=USD","Period=FQ","BEST_FPERIOD_OVERRIDE=FQ","FILING_STATUS=OR","SCALING_FORMAT=MLN","Sort=A","Dates=H","DateFormat=P","Fill=—","Direction=H","UseDPDF=Y")</f>
        <v>-1822</v>
      </c>
      <c r="AF28" s="13">
        <f>_xll.BDH("XOM US Equity","CF_DVD_PAID","FQ4 2005","FQ4 2005","Currency=USD","Period=FQ","BEST_FPERIOD_OVERRIDE=FQ","FILING_STATUS=OR","SCALING_FORMAT=MLN","Sort=A","Dates=H","DateFormat=P","Fill=—","Direction=H","UseDPDF=Y")</f>
        <v>-1795</v>
      </c>
      <c r="AG28" s="13">
        <f>_xll.BDH("XOM US Equity","CF_DVD_PAID","FQ1 2006","FQ1 2006","Currency=USD","Period=FQ","BEST_FPERIOD_OVERRIDE=FQ","FILING_STATUS=OR","SCALING_FORMAT=MLN","Sort=A","Dates=H","DateFormat=P","Fill=—","Direction=H","UseDPDF=Y")</f>
        <v>-1957</v>
      </c>
      <c r="AH28" s="13">
        <f>_xll.BDH("XOM US Equity","CF_DVD_PAID","FQ2 2006","FQ2 2006","Currency=USD","Period=FQ","BEST_FPERIOD_OVERRIDE=FQ","FILING_STATUS=OR","SCALING_FORMAT=MLN","Sort=A","Dates=H","DateFormat=P","Fill=—","Direction=H","UseDPDF=Y")</f>
        <v>-1926</v>
      </c>
      <c r="AI28" s="13">
        <f>_xll.BDH("XOM US Equity","CF_DVD_PAID","FQ3 2006","FQ3 2006","Currency=USD","Period=FQ","BEST_FPERIOD_OVERRIDE=FQ","FILING_STATUS=OR","SCALING_FORMAT=MLN","Sort=A","Dates=H","DateFormat=P","Fill=—","Direction=H","UseDPDF=Y")</f>
        <v>-1892</v>
      </c>
      <c r="AJ28" s="13">
        <f>_xll.BDH("XOM US Equity","CF_DVD_PAID","FQ4 2006","FQ4 2006","Currency=USD","Period=FQ","BEST_FPERIOD_OVERRIDE=FQ","FILING_STATUS=OR","SCALING_FORMAT=MLN","Sort=A","Dates=H","DateFormat=P","Fill=—","Direction=H","UseDPDF=Y")</f>
        <v>-1853</v>
      </c>
      <c r="AK28" s="13">
        <f>_xll.BDH("XOM US Equity","CF_DVD_PAID","FQ1 2007","FQ1 2007","Currency=USD","Period=FQ","BEST_FPERIOD_OVERRIDE=FQ","FILING_STATUS=OR","SCALING_FORMAT=MLN","Sort=A","Dates=H","DateFormat=P","Fill=—","Direction=H","UseDPDF=Y")</f>
        <v>-1825</v>
      </c>
      <c r="AL28" s="13">
        <f>_xll.BDH("XOM US Equity","CF_DVD_PAID","FQ2 2007","FQ2 2007","Currency=USD","Period=FQ","BEST_FPERIOD_OVERRIDE=FQ","FILING_STATUS=OR","SCALING_FORMAT=MLN","Sort=A","Dates=H","DateFormat=P","Fill=—","Direction=H","UseDPDF=Y")</f>
        <v>-1961</v>
      </c>
      <c r="AM28" s="13">
        <f>_xll.BDH("XOM US Equity","CF_DVD_PAID","FQ3 2007","FQ3 2007","Currency=USD","Period=FQ","BEST_FPERIOD_OVERRIDE=FQ","FILING_STATUS=OR","SCALING_FORMAT=MLN","Sort=A","Dates=H","DateFormat=P","Fill=—","Direction=H","UseDPDF=Y")</f>
        <v>-1932</v>
      </c>
      <c r="AN28" s="13">
        <f>_xll.BDH("XOM US Equity","CF_DVD_PAID","FQ4 2007","FQ4 2007","Currency=USD","Period=FQ","BEST_FPERIOD_OVERRIDE=FQ","FILING_STATUS=OR","SCALING_FORMAT=MLN","Sort=A","Dates=H","DateFormat=P","Fill=—","Direction=H","UseDPDF=Y")</f>
        <v>-1903</v>
      </c>
      <c r="AO28" s="13">
        <f>_xll.BDH("XOM US Equity","CF_DVD_PAID","FQ1 2008","FQ1 2008","Currency=USD","Period=FQ","BEST_FPERIOD_OVERRIDE=FQ","FILING_STATUS=OR","SCALING_FORMAT=MLN","Sort=A","Dates=H","DateFormat=P","Fill=—","Direction=H","UseDPDF=Y")</f>
        <v>-1879</v>
      </c>
      <c r="AP28" s="13">
        <f>_xll.BDH("XOM US Equity","CF_DVD_PAID","FQ2 2008","FQ2 2008","Currency=USD","Period=FQ","BEST_FPERIOD_OVERRIDE=FQ","FILING_STATUS=OR","SCALING_FORMAT=MLN","Sort=A","Dates=H","DateFormat=P","Fill=—","Direction=H","UseDPDF=Y")</f>
        <v>-2098</v>
      </c>
    </row>
    <row r="29" spans="1:42" x14ac:dyDescent="0.25">
      <c r="A29" s="10" t="s">
        <v>322</v>
      </c>
      <c r="B29" s="10" t="s">
        <v>323</v>
      </c>
      <c r="C29" s="13">
        <f>_xll.BDH("XOM US Equity","PROC_FR_REPAYMNTS_BOR_DETAILED","FQ3 1998","FQ3 1998","Currency=USD","Period=FQ","BEST_FPERIOD_OVERRIDE=FQ","FILING_STATUS=OR","SCALING_FORMAT=MLN","Sort=A","Dates=H","DateFormat=P","Fill=—","Direction=H","UseDPDF=Y")</f>
        <v>-50</v>
      </c>
      <c r="D29" s="13">
        <f>_xll.BDH("XOM US Equity","PROC_FR_REPAYMNTS_BOR_DETAILED","FQ4 1998","FQ4 1998","Currency=USD","Period=FQ","BEST_FPERIOD_OVERRIDE=FQ","FILING_STATUS=OR","SCALING_FORMAT=MLN","Sort=A","Dates=H","DateFormat=P","Fill=—","Direction=H","UseDPDF=Y")</f>
        <v>2571</v>
      </c>
      <c r="E29" s="13">
        <f>_xll.BDH("XOM US Equity","PROC_FR_REPAYMNTS_BOR_DETAILED","FQ1 1999","FQ1 1999","Currency=USD","Period=FQ","BEST_FPERIOD_OVERRIDE=FQ","FILING_STATUS=OR","SCALING_FORMAT=MLN","Sort=A","Dates=H","DateFormat=P","Fill=—","Direction=H","UseDPDF=Y")</f>
        <v>-406</v>
      </c>
      <c r="F29" s="13">
        <f>_xll.BDH("XOM US Equity","PROC_FR_REPAYMNTS_BOR_DETAILED","FQ2 1999","FQ2 1999","Currency=USD","Period=FQ","BEST_FPERIOD_OVERRIDE=FQ","FILING_STATUS=OR","SCALING_FORMAT=MLN","Sort=A","Dates=H","DateFormat=P","Fill=—","Direction=H","UseDPDF=Y")</f>
        <v>946</v>
      </c>
      <c r="G29" s="13">
        <f>_xll.BDH("XOM US Equity","PROC_FR_REPAYMNTS_BOR_DETAILED","FQ3 1999","FQ3 1999","Currency=USD","Period=FQ","BEST_FPERIOD_OVERRIDE=FQ","FILING_STATUS=OR","SCALING_FORMAT=MLN","Sort=A","Dates=H","DateFormat=P","Fill=—","Direction=H","UseDPDF=Y")</f>
        <v>-85</v>
      </c>
      <c r="H29" s="13">
        <f>_xll.BDH("XOM US Equity","PROC_FR_REPAYMNTS_BOR_DETAILED","FQ4 1999","FQ4 1999","Currency=USD","Period=FQ","BEST_FPERIOD_OVERRIDE=FQ","FILING_STATUS=OR","SCALING_FORMAT=MLN","Sort=A","Dates=H","DateFormat=P","Fill=—","Direction=H","UseDPDF=Y")</f>
        <v>1379</v>
      </c>
      <c r="I29" s="13">
        <f>_xll.BDH("XOM US Equity","PROC_FR_REPAYMNTS_BOR_DETAILED","FQ1 2000","FQ1 2000","Currency=USD","Period=FQ","BEST_FPERIOD_OVERRIDE=FQ","FILING_STATUS=OR","SCALING_FORMAT=MLN","Sort=A","Dates=H","DateFormat=P","Fill=—","Direction=H","UseDPDF=Y")</f>
        <v>-3531</v>
      </c>
      <c r="J29" s="13">
        <f>_xll.BDH("XOM US Equity","PROC_FR_REPAYMNTS_BOR_DETAILED","FQ2 2000","FQ2 2000","Currency=USD","Period=FQ","BEST_FPERIOD_OVERRIDE=FQ","FILING_STATUS=OR","SCALING_FORMAT=MLN","Sort=A","Dates=H","DateFormat=P","Fill=—","Direction=H","UseDPDF=Y")</f>
        <v>-786</v>
      </c>
      <c r="K29" s="13">
        <f>_xll.BDH("XOM US Equity","PROC_FR_REPAYMNTS_BOR_DETAILED","FQ3 2000","FQ3 2000","Currency=USD","Period=FQ","BEST_FPERIOD_OVERRIDE=FQ","FILING_STATUS=OR","SCALING_FORMAT=MLN","Sort=A","Dates=H","DateFormat=P","Fill=—","Direction=H","UseDPDF=Y")</f>
        <v>0</v>
      </c>
      <c r="L29" s="13">
        <f>_xll.BDH("XOM US Equity","PROC_FR_REPAYMNTS_BOR_DETAILED","FQ4 2000","FQ4 2000","Currency=USD","Period=FQ","BEST_FPERIOD_OVERRIDE=FQ","FILING_STATUS=OR","SCALING_FORMAT=MLN","Sort=A","Dates=H","DateFormat=P","Fill=—","Direction=H","UseDPDF=Y")</f>
        <v>-1388</v>
      </c>
      <c r="M29" s="13">
        <f>_xll.BDH("XOM US Equity","PROC_FR_REPAYMNTS_BOR_DETAILED","FQ1 2001","FQ1 2001","Currency=USD","Period=FQ","BEST_FPERIOD_OVERRIDE=FQ","FILING_STATUS=OR","SCALING_FORMAT=MLN","Sort=A","Dates=H","DateFormat=P","Fill=—","Direction=H","UseDPDF=Y")</f>
        <v>-691</v>
      </c>
      <c r="N29" s="13">
        <f>_xll.BDH("XOM US Equity","PROC_FR_REPAYMNTS_BOR_DETAILED","FQ2 2001","FQ2 2001","Currency=USD","Period=FQ","BEST_FPERIOD_OVERRIDE=FQ","FILING_STATUS=OR","SCALING_FORMAT=MLN","Sort=A","Dates=H","DateFormat=P","Fill=—","Direction=H","UseDPDF=Y")</f>
        <v>-1694</v>
      </c>
      <c r="O29" s="13">
        <f>_xll.BDH("XOM US Equity","PROC_FR_REPAYMNTS_BOR_DETAILED","FQ3 2001","FQ3 2001","Currency=USD","Period=FQ","BEST_FPERIOD_OVERRIDE=FQ","FILING_STATUS=OR","SCALING_FORMAT=MLN","Sort=A","Dates=H","DateFormat=P","Fill=—","Direction=H","UseDPDF=Y")</f>
        <v>13</v>
      </c>
      <c r="P29" s="13">
        <f>_xll.BDH("XOM US Equity","PROC_FR_REPAYMNTS_BOR_DETAILED","FQ4 2001","FQ4 2001","Currency=USD","Period=FQ","BEST_FPERIOD_OVERRIDE=FQ","FILING_STATUS=OR","SCALING_FORMAT=MLN","Sort=A","Dates=H","DateFormat=P","Fill=—","Direction=H","UseDPDF=Y")</f>
        <v>-400</v>
      </c>
      <c r="Q29" s="13">
        <f>_xll.BDH("XOM US Equity","PROC_FR_REPAYMNTS_BOR_DETAILED","FQ1 2002","FQ1 2002","Currency=USD","Period=FQ","BEST_FPERIOD_OVERRIDE=FQ","FILING_STATUS=OR","SCALING_FORMAT=MLN","Sort=A","Dates=H","DateFormat=P","Fill=—","Direction=H","UseDPDF=Y")</f>
        <v>-346</v>
      </c>
      <c r="R29" s="13">
        <f>_xll.BDH("XOM US Equity","PROC_FR_REPAYMNTS_BOR_DETAILED","FQ2 2002","FQ2 2002","Currency=USD","Period=FQ","BEST_FPERIOD_OVERRIDE=FQ","FILING_STATUS=OR","SCALING_FORMAT=MLN","Sort=A","Dates=H","DateFormat=P","Fill=—","Direction=H","UseDPDF=Y")</f>
        <v>535</v>
      </c>
      <c r="S29" s="13">
        <f>_xll.BDH("XOM US Equity","PROC_FR_REPAYMNTS_BOR_DETAILED","FQ3 2002","FQ3 2002","Currency=USD","Period=FQ","BEST_FPERIOD_OVERRIDE=FQ","FILING_STATUS=OR","SCALING_FORMAT=MLN","Sort=A","Dates=H","DateFormat=P","Fill=—","Direction=H","UseDPDF=Y")</f>
        <v>-478</v>
      </c>
      <c r="T29" s="13">
        <f>_xll.BDH("XOM US Equity","PROC_FR_REPAYMNTS_BOR_DETAILED","FQ4 2002","FQ4 2002","Currency=USD","Period=FQ","BEST_FPERIOD_OVERRIDE=FQ","FILING_STATUS=OR","SCALING_FORMAT=MLN","Sort=A","Dates=H","DateFormat=P","Fill=—","Direction=H","UseDPDF=Y")</f>
        <v>-18</v>
      </c>
      <c r="U29" s="13">
        <f>_xll.BDH("XOM US Equity","PROC_FR_REPAYMNTS_BOR_DETAILED","FQ1 2003","FQ1 2003","Currency=USD","Period=FQ","BEST_FPERIOD_OVERRIDE=FQ","FILING_STATUS=OR","SCALING_FORMAT=MLN","Sort=A","Dates=H","DateFormat=P","Fill=—","Direction=H","UseDPDF=Y")</f>
        <v>-187</v>
      </c>
      <c r="V29" s="13">
        <f>_xll.BDH("XOM US Equity","PROC_FR_REPAYMNTS_BOR_DETAILED","FQ2 2003","FQ2 2003","Currency=USD","Period=FQ","BEST_FPERIOD_OVERRIDE=FQ","FILING_STATUS=OR","SCALING_FORMAT=MLN","Sort=A","Dates=H","DateFormat=P","Fill=—","Direction=H","UseDPDF=Y")</f>
        <v>-611</v>
      </c>
      <c r="W29" s="13">
        <f>_xll.BDH("XOM US Equity","PROC_FR_REPAYMNTS_BOR_DETAILED","FQ3 2003","FQ3 2003","Currency=USD","Period=FQ","BEST_FPERIOD_OVERRIDE=FQ","FILING_STATUS=OR","SCALING_FORMAT=MLN","Sort=A","Dates=H","DateFormat=P","Fill=—","Direction=H","UseDPDF=Y")</f>
        <v>-636</v>
      </c>
      <c r="X29" s="13">
        <f>_xll.BDH("XOM US Equity","PROC_FR_REPAYMNTS_BOR_DETAILED","FQ4 2003","FQ4 2003","Currency=USD","Period=FQ","BEST_FPERIOD_OVERRIDE=FQ","FILING_STATUS=OR","SCALING_FORMAT=MLN","Sort=A","Dates=H","DateFormat=P","Fill=—","Direction=H","UseDPDF=Y")</f>
        <v>-690</v>
      </c>
      <c r="Y29" s="13">
        <f>_xll.BDH("XOM US Equity","PROC_FR_REPAYMNTS_BOR_DETAILED","FQ1 2004","FQ1 2004","Currency=USD","Period=FQ","BEST_FPERIOD_OVERRIDE=FQ","FILING_STATUS=OR","SCALING_FORMAT=MLN","Sort=A","Dates=H","DateFormat=P","Fill=—","Direction=H","UseDPDF=Y")</f>
        <v>320</v>
      </c>
      <c r="Z29" s="13">
        <f>_xll.BDH("XOM US Equity","PROC_FR_REPAYMNTS_BOR_DETAILED","FQ2 2004","FQ2 2004","Currency=USD","Period=FQ","BEST_FPERIOD_OVERRIDE=FQ","FILING_STATUS=OR","SCALING_FORMAT=MLN","Sort=A","Dates=H","DateFormat=P","Fill=—","Direction=H","UseDPDF=Y")</f>
        <v>-154</v>
      </c>
      <c r="AA29" s="13">
        <f>_xll.BDH("XOM US Equity","PROC_FR_REPAYMNTS_BOR_DETAILED","FQ3 2004","FQ3 2004","Currency=USD","Period=FQ","BEST_FPERIOD_OVERRIDE=FQ","FILING_STATUS=OR","SCALING_FORMAT=MLN","Sort=A","Dates=H","DateFormat=P","Fill=—","Direction=H","UseDPDF=Y")</f>
        <v>-152</v>
      </c>
      <c r="AB29" s="13">
        <f>_xll.BDH("XOM US Equity","PROC_FR_REPAYMNTS_BOR_DETAILED","FQ4 2004","FQ4 2004","Currency=USD","Period=FQ","BEST_FPERIOD_OVERRIDE=FQ","FILING_STATUS=OR","SCALING_FORMAT=MLN","Sort=A","Dates=H","DateFormat=P","Fill=—","Direction=H","UseDPDF=Y")</f>
        <v>-1965</v>
      </c>
      <c r="AC29" s="13">
        <f>_xll.BDH("XOM US Equity","PROC_FR_REPAYMNTS_BOR_DETAILED","FQ1 2005","FQ1 2005","Currency=USD","Period=FQ","BEST_FPERIOD_OVERRIDE=FQ","FILING_STATUS=OR","SCALING_FORMAT=MLN","Sort=A","Dates=H","DateFormat=P","Fill=—","Direction=H","UseDPDF=Y")</f>
        <v>9</v>
      </c>
      <c r="AD29" s="13">
        <f>_xll.BDH("XOM US Equity","PROC_FR_REPAYMNTS_BOR_DETAILED","FQ2 2005","FQ2 2005","Currency=USD","Period=FQ","BEST_FPERIOD_OVERRIDE=FQ","FILING_STATUS=OR","SCALING_FORMAT=MLN","Sort=A","Dates=H","DateFormat=P","Fill=—","Direction=H","UseDPDF=Y")</f>
        <v>-286</v>
      </c>
      <c r="AE29" s="13">
        <f>_xll.BDH("XOM US Equity","PROC_FR_REPAYMNTS_BOR_DETAILED","FQ3 2005","FQ3 2005","Currency=USD","Period=FQ","BEST_FPERIOD_OVERRIDE=FQ","FILING_STATUS=OR","SCALING_FORMAT=MLN","Sort=A","Dates=H","DateFormat=P","Fill=—","Direction=H","UseDPDF=Y")</f>
        <v>-738</v>
      </c>
      <c r="AF29" s="13">
        <f>_xll.BDH("XOM US Equity","PROC_FR_REPAYMNTS_BOR_DETAILED","FQ4 2005","FQ4 2005","Currency=USD","Period=FQ","BEST_FPERIOD_OVERRIDE=FQ","FILING_STATUS=OR","SCALING_FORMAT=MLN","Sort=A","Dates=H","DateFormat=P","Fill=—","Direction=H","UseDPDF=Y")</f>
        <v>-487</v>
      </c>
      <c r="AG29" s="13">
        <f>_xll.BDH("XOM US Equity","PROC_FR_REPAYMNTS_BOR_DETAILED","FQ1 2006","FQ1 2006","Currency=USD","Period=FQ","BEST_FPERIOD_OVERRIDE=FQ","FILING_STATUS=OR","SCALING_FORMAT=MLN","Sort=A","Dates=H","DateFormat=P","Fill=—","Direction=H","UseDPDF=Y")</f>
        <v>-55</v>
      </c>
      <c r="AH29" s="13">
        <f>_xll.BDH("XOM US Equity","PROC_FR_REPAYMNTS_BOR_DETAILED","FQ2 2006","FQ2 2006","Currency=USD","Period=FQ","BEST_FPERIOD_OVERRIDE=FQ","FILING_STATUS=OR","SCALING_FORMAT=MLN","Sort=A","Dates=H","DateFormat=P","Fill=—","Direction=H","UseDPDF=Y")</f>
        <v>206</v>
      </c>
      <c r="AI29" s="13">
        <f>_xll.BDH("XOM US Equity","PROC_FR_REPAYMNTS_BOR_DETAILED","FQ3 2006","FQ3 2006","Currency=USD","Period=FQ","BEST_FPERIOD_OVERRIDE=FQ","FILING_STATUS=OR","SCALING_FORMAT=MLN","Sort=A","Dates=H","DateFormat=P","Fill=—","Direction=H","UseDPDF=Y")</f>
        <v>186</v>
      </c>
      <c r="AJ29" s="13">
        <f>_xll.BDH("XOM US Equity","PROC_FR_REPAYMNTS_BOR_DETAILED","FQ4 2006","FQ4 2006","Currency=USD","Period=FQ","BEST_FPERIOD_OVERRIDE=FQ","FILING_STATUS=OR","SCALING_FORMAT=MLN","Sort=A","Dates=H","DateFormat=P","Fill=—","Direction=H","UseDPDF=Y")</f>
        <v>-264</v>
      </c>
      <c r="AK29" s="13">
        <f>_xll.BDH("XOM US Equity","PROC_FR_REPAYMNTS_BOR_DETAILED","FQ1 2007","FQ1 2007","Currency=USD","Period=FQ","BEST_FPERIOD_OVERRIDE=FQ","FILING_STATUS=OR","SCALING_FORMAT=MLN","Sort=A","Dates=H","DateFormat=P","Fill=—","Direction=H","UseDPDF=Y")</f>
        <v>331</v>
      </c>
      <c r="AL29" s="13">
        <f>_xll.BDH("XOM US Equity","PROC_FR_REPAYMNTS_BOR_DETAILED","FQ2 2007","FQ2 2007","Currency=USD","Period=FQ","BEST_FPERIOD_OVERRIDE=FQ","FILING_STATUS=OR","SCALING_FORMAT=MLN","Sort=A","Dates=H","DateFormat=P","Fill=—","Direction=H","UseDPDF=Y")</f>
        <v>-61</v>
      </c>
      <c r="AM29" s="13">
        <f>_xll.BDH("XOM US Equity","PROC_FR_REPAYMNTS_BOR_DETAILED","FQ3 2007","FQ3 2007","Currency=USD","Period=FQ","BEST_FPERIOD_OVERRIDE=FQ","FILING_STATUS=OR","SCALING_FORMAT=MLN","Sort=A","Dates=H","DateFormat=P","Fill=—","Direction=H","UseDPDF=Y")</f>
        <v>-91</v>
      </c>
      <c r="AN29" s="13">
        <f>_xll.BDH("XOM US Equity","PROC_FR_REPAYMNTS_BOR_DETAILED","FQ4 2007","FQ4 2007","Currency=USD","Period=FQ","BEST_FPERIOD_OVERRIDE=FQ","FILING_STATUS=OR","SCALING_FORMAT=MLN","Sort=A","Dates=H","DateFormat=P","Fill=—","Direction=H","UseDPDF=Y")</f>
        <v>419</v>
      </c>
      <c r="AO29" s="13">
        <f>_xll.BDH("XOM US Equity","PROC_FR_REPAYMNTS_BOR_DETAILED","FQ1 2008","FQ1 2008","Currency=USD","Period=FQ","BEST_FPERIOD_OVERRIDE=FQ","FILING_STATUS=OR","SCALING_FORMAT=MLN","Sort=A","Dates=H","DateFormat=P","Fill=—","Direction=H","UseDPDF=Y")</f>
        <v>179</v>
      </c>
      <c r="AP29" s="13">
        <f>_xll.BDH("XOM US Equity","PROC_FR_REPAYMNTS_BOR_DETAILED","FQ2 2008","FQ2 2008","Currency=USD","Period=FQ","BEST_FPERIOD_OVERRIDE=FQ","FILING_STATUS=OR","SCALING_FORMAT=MLN","Sort=A","Dates=H","DateFormat=P","Fill=—","Direction=H","UseDPDF=Y")</f>
        <v>-411</v>
      </c>
    </row>
    <row r="30" spans="1:42" x14ac:dyDescent="0.25">
      <c r="A30" s="10" t="s">
        <v>324</v>
      </c>
      <c r="B30" s="10" t="s">
        <v>325</v>
      </c>
      <c r="C30" s="13">
        <f>_xll.BDH("XOM US Equity","PROC_FR_REPURCH_EQTY_DETAILED","FQ3 1998","FQ3 1998","Currency=USD","Period=FQ","BEST_FPERIOD_OVERRIDE=FQ","FILING_STATUS=OR","SCALING_FORMAT=MLN","Sort=A","Dates=H","DateFormat=P","Fill=—","Direction=H","UseDPDF=Y")</f>
        <v>-583</v>
      </c>
      <c r="D30" s="13">
        <f>_xll.BDH("XOM US Equity","PROC_FR_REPURCH_EQTY_DETAILED","FQ4 1998","FQ4 1998","Currency=USD","Period=FQ","BEST_FPERIOD_OVERRIDE=FQ","FILING_STATUS=OR","SCALING_FORMAT=MLN","Sort=A","Dates=H","DateFormat=P","Fill=—","Direction=H","UseDPDF=Y")</f>
        <v>-709</v>
      </c>
      <c r="E30" s="13">
        <f>_xll.BDH("XOM US Equity","PROC_FR_REPURCH_EQTY_DETAILED","FQ1 1999","FQ1 1999","Currency=USD","Period=FQ","BEST_FPERIOD_OVERRIDE=FQ","FILING_STATUS=OR","SCALING_FORMAT=MLN","Sort=A","Dates=H","DateFormat=P","Fill=—","Direction=H","UseDPDF=Y")</f>
        <v>-108</v>
      </c>
      <c r="F30" s="13">
        <f>_xll.BDH("XOM US Equity","PROC_FR_REPURCH_EQTY_DETAILED","FQ2 1999","FQ2 1999","Currency=USD","Period=FQ","BEST_FPERIOD_OVERRIDE=FQ","FILING_STATUS=OR","SCALING_FORMAT=MLN","Sort=A","Dates=H","DateFormat=P","Fill=—","Direction=H","UseDPDF=Y")</f>
        <v>-243</v>
      </c>
      <c r="G30" s="13">
        <f>_xll.BDH("XOM US Equity","PROC_FR_REPURCH_EQTY_DETAILED","FQ3 1999","FQ3 1999","Currency=USD","Period=FQ","BEST_FPERIOD_OVERRIDE=FQ","FILING_STATUS=OR","SCALING_FORMAT=MLN","Sort=A","Dates=H","DateFormat=P","Fill=—","Direction=H","UseDPDF=Y")</f>
        <v>-63</v>
      </c>
      <c r="H30" s="13">
        <f>_xll.BDH("XOM US Equity","PROC_FR_REPURCH_EQTY_DETAILED","FQ4 1999","FQ4 1999","Currency=USD","Period=FQ","BEST_FPERIOD_OVERRIDE=FQ","FILING_STATUS=OR","SCALING_FORMAT=MLN","Sort=A","Dates=H","DateFormat=P","Fill=—","Direction=H","UseDPDF=Y")</f>
        <v>92</v>
      </c>
      <c r="I30" s="13">
        <f>_xll.BDH("XOM US Equity","PROC_FR_REPURCH_EQTY_DETAILED","FQ1 2000","FQ1 2000","Currency=USD","Period=FQ","BEST_FPERIOD_OVERRIDE=FQ","FILING_STATUS=OR","SCALING_FORMAT=MLN","Sort=A","Dates=H","DateFormat=P","Fill=—","Direction=H","UseDPDF=Y")</f>
        <v>109</v>
      </c>
      <c r="J30" s="13">
        <f>_xll.BDH("XOM US Equity","PROC_FR_REPURCH_EQTY_DETAILED","FQ2 2000","FQ2 2000","Currency=USD","Period=FQ","BEST_FPERIOD_OVERRIDE=FQ","FILING_STATUS=OR","SCALING_FORMAT=MLN","Sort=A","Dates=H","DateFormat=P","Fill=—","Direction=H","UseDPDF=Y")</f>
        <v>86</v>
      </c>
      <c r="K30" s="13">
        <f>_xll.BDH("XOM US Equity","PROC_FR_REPURCH_EQTY_DETAILED","FQ3 2000","FQ3 2000","Currency=USD","Period=FQ","BEST_FPERIOD_OVERRIDE=FQ","FILING_STATUS=OR","SCALING_FORMAT=MLN","Sort=A","Dates=H","DateFormat=P","Fill=—","Direction=H","UseDPDF=Y")</f>
        <v>-856</v>
      </c>
      <c r="L30" s="13">
        <f>_xll.BDH("XOM US Equity","PROC_FR_REPURCH_EQTY_DETAILED","FQ4 2000","FQ4 2000","Currency=USD","Period=FQ","BEST_FPERIOD_OVERRIDE=FQ","FILING_STATUS=OR","SCALING_FORMAT=MLN","Sort=A","Dates=H","DateFormat=P","Fill=—","Direction=H","UseDPDF=Y")</f>
        <v>-1198</v>
      </c>
      <c r="M30" s="13">
        <f>_xll.BDH("XOM US Equity","PROC_FR_REPURCH_EQTY_DETAILED","FQ1 2001","FQ1 2001","Currency=USD","Period=FQ","BEST_FPERIOD_OVERRIDE=FQ","FILING_STATUS=OR","SCALING_FORMAT=MLN","Sort=A","Dates=H","DateFormat=P","Fill=—","Direction=H","UseDPDF=Y")</f>
        <v>-1370</v>
      </c>
      <c r="N30" s="13">
        <f>_xll.BDH("XOM US Equity","PROC_FR_REPURCH_EQTY_DETAILED","FQ2 2001","FQ2 2001","Currency=USD","Period=FQ","BEST_FPERIOD_OVERRIDE=FQ","FILING_STATUS=OR","SCALING_FORMAT=MLN","Sort=A","Dates=H","DateFormat=P","Fill=—","Direction=H","UseDPDF=Y")</f>
        <v>-1406</v>
      </c>
      <c r="O30" s="13">
        <f>_xll.BDH("XOM US Equity","PROC_FR_REPURCH_EQTY_DETAILED","FQ3 2001","FQ3 2001","Currency=USD","Period=FQ","BEST_FPERIOD_OVERRIDE=FQ","FILING_STATUS=OR","SCALING_FORMAT=MLN","Sort=A","Dates=H","DateFormat=P","Fill=—","Direction=H","UseDPDF=Y")</f>
        <v>-1289</v>
      </c>
      <c r="P30" s="13">
        <f>_xll.BDH("XOM US Equity","PROC_FR_REPURCH_EQTY_DETAILED","FQ4 2001","FQ4 2001","Currency=USD","Period=FQ","BEST_FPERIOD_OVERRIDE=FQ","FILING_STATUS=OR","SCALING_FORMAT=MLN","Sort=A","Dates=H","DateFormat=P","Fill=—","Direction=H","UseDPDF=Y")</f>
        <v>-1355</v>
      </c>
      <c r="Q30" s="13">
        <f>_xll.BDH("XOM US Equity","PROC_FR_REPURCH_EQTY_DETAILED","FQ1 2002","FQ1 2002","Currency=USD","Period=FQ","BEST_FPERIOD_OVERRIDE=FQ","FILING_STATUS=OR","SCALING_FORMAT=MLN","Sort=A","Dates=H","DateFormat=P","Fill=—","Direction=H","UseDPDF=Y")</f>
        <v>-1317</v>
      </c>
      <c r="R30" s="13">
        <f>_xll.BDH("XOM US Equity","PROC_FR_REPURCH_EQTY_DETAILED","FQ2 2002","FQ2 2002","Currency=USD","Period=FQ","BEST_FPERIOD_OVERRIDE=FQ","FILING_STATUS=OR","SCALING_FORMAT=MLN","Sort=A","Dates=H","DateFormat=P","Fill=—","Direction=H","UseDPDF=Y")</f>
        <v>-1052</v>
      </c>
      <c r="S30" s="13">
        <f>_xll.BDH("XOM US Equity","PROC_FR_REPURCH_EQTY_DETAILED","FQ3 2002","FQ3 2002","Currency=USD","Period=FQ","BEST_FPERIOD_OVERRIDE=FQ","FILING_STATUS=OR","SCALING_FORMAT=MLN","Sort=A","Dates=H","DateFormat=P","Fill=—","Direction=H","UseDPDF=Y")</f>
        <v>-1033</v>
      </c>
      <c r="T30" s="13">
        <f>_xll.BDH("XOM US Equity","PROC_FR_REPURCH_EQTY_DETAILED","FQ4 2002","FQ4 2002","Currency=USD","Period=FQ","BEST_FPERIOD_OVERRIDE=FQ","FILING_STATUS=OR","SCALING_FORMAT=MLN","Sort=A","Dates=H","DateFormat=P","Fill=—","Direction=H","UseDPDF=Y")</f>
        <v>-1097</v>
      </c>
      <c r="U30" s="13">
        <f>_xll.BDH("XOM US Equity","PROC_FR_REPURCH_EQTY_DETAILED","FQ1 2003","FQ1 2003","Currency=USD","Period=FQ","BEST_FPERIOD_OVERRIDE=FQ","FILING_STATUS=OR","SCALING_FORMAT=MLN","Sort=A","Dates=H","DateFormat=P","Fill=—","Direction=H","UseDPDF=Y")</f>
        <v>-1155</v>
      </c>
      <c r="V30" s="13">
        <f>_xll.BDH("XOM US Equity","PROC_FR_REPURCH_EQTY_DETAILED","FQ2 2003","FQ2 2003","Currency=USD","Period=FQ","BEST_FPERIOD_OVERRIDE=FQ","FILING_STATUS=OR","SCALING_FORMAT=MLN","Sort=A","Dates=H","DateFormat=P","Fill=—","Direction=H","UseDPDF=Y")</f>
        <v>-1056</v>
      </c>
      <c r="W30" s="13">
        <f>_xll.BDH("XOM US Equity","PROC_FR_REPURCH_EQTY_DETAILED","FQ3 2003","FQ3 2003","Currency=USD","Period=FQ","BEST_FPERIOD_OVERRIDE=FQ","FILING_STATUS=OR","SCALING_FORMAT=MLN","Sort=A","Dates=H","DateFormat=P","Fill=—","Direction=H","UseDPDF=Y")</f>
        <v>-1577</v>
      </c>
      <c r="X30" s="13">
        <f>_xll.BDH("XOM US Equity","PROC_FR_REPURCH_EQTY_DETAILED","FQ4 2003","FQ4 2003","Currency=USD","Period=FQ","BEST_FPERIOD_OVERRIDE=FQ","FILING_STATUS=OR","SCALING_FORMAT=MLN","Sort=A","Dates=H","DateFormat=P","Fill=—","Direction=H","UseDPDF=Y")</f>
        <v>-1659</v>
      </c>
      <c r="Y30" s="13">
        <f>_xll.BDH("XOM US Equity","PROC_FR_REPURCH_EQTY_DETAILED","FQ1 2004","FQ1 2004","Currency=USD","Period=FQ","BEST_FPERIOD_OVERRIDE=FQ","FILING_STATUS=OR","SCALING_FORMAT=MLN","Sort=A","Dates=H","DateFormat=P","Fill=—","Direction=H","UseDPDF=Y")</f>
        <v>-1745</v>
      </c>
      <c r="Z30" s="13">
        <f>_xll.BDH("XOM US Equity","PROC_FR_REPURCH_EQTY_DETAILED","FQ2 2004","FQ2 2004","Currency=USD","Period=FQ","BEST_FPERIOD_OVERRIDE=FQ","FILING_STATUS=OR","SCALING_FORMAT=MLN","Sort=A","Dates=H","DateFormat=P","Fill=—","Direction=H","UseDPDF=Y")</f>
        <v>-1730</v>
      </c>
      <c r="AA30" s="13">
        <f>_xll.BDH("XOM US Equity","PROC_FR_REPURCH_EQTY_DETAILED","FQ3 2004","FQ3 2004","Currency=USD","Period=FQ","BEST_FPERIOD_OVERRIDE=FQ","FILING_STATUS=OR","SCALING_FORMAT=MLN","Sort=A","Dates=H","DateFormat=P","Fill=—","Direction=H","UseDPDF=Y")</f>
        <v>-2760</v>
      </c>
      <c r="AB30" s="13">
        <f>_xll.BDH("XOM US Equity","PROC_FR_REPURCH_EQTY_DETAILED","FQ4 2004","FQ4 2004","Currency=USD","Period=FQ","BEST_FPERIOD_OVERRIDE=FQ","FILING_STATUS=OR","SCALING_FORMAT=MLN","Sort=A","Dates=H","DateFormat=P","Fill=—","Direction=H","UseDPDF=Y")</f>
        <v>-2756</v>
      </c>
      <c r="AC30" s="13">
        <f>_xll.BDH("XOM US Equity","PROC_FR_REPURCH_EQTY_DETAILED","FQ1 2005","FQ1 2005","Currency=USD","Period=FQ","BEST_FPERIOD_OVERRIDE=FQ","FILING_STATUS=OR","SCALING_FORMAT=MLN","Sort=A","Dates=H","DateFormat=P","Fill=—","Direction=H","UseDPDF=Y")</f>
        <v>-3087</v>
      </c>
      <c r="AD30" s="13">
        <f>_xll.BDH("XOM US Equity","PROC_FR_REPURCH_EQTY_DETAILED","FQ2 2005","FQ2 2005","Currency=USD","Period=FQ","BEST_FPERIOD_OVERRIDE=FQ","FILING_STATUS=OR","SCALING_FORMAT=MLN","Sort=A","Dates=H","DateFormat=P","Fill=—","Direction=H","UseDPDF=Y")</f>
        <v>-3609</v>
      </c>
      <c r="AE30" s="13">
        <f>_xll.BDH("XOM US Equity","PROC_FR_REPURCH_EQTY_DETAILED","FQ3 2005","FQ3 2005","Currency=USD","Period=FQ","BEST_FPERIOD_OVERRIDE=FQ","FILING_STATUS=OR","SCALING_FORMAT=MLN","Sort=A","Dates=H","DateFormat=P","Fill=—","Direction=H","UseDPDF=Y")</f>
        <v>-5289</v>
      </c>
      <c r="AF30" s="13">
        <f>_xll.BDH("XOM US Equity","PROC_FR_REPURCH_EQTY_DETAILED","FQ4 2005","FQ4 2005","Currency=USD","Period=FQ","BEST_FPERIOD_OVERRIDE=FQ","FILING_STATUS=OR","SCALING_FORMAT=MLN","Sort=A","Dates=H","DateFormat=P","Fill=—","Direction=H","UseDPDF=Y")</f>
        <v>-5295</v>
      </c>
      <c r="AG30" s="13">
        <f>_xll.BDH("XOM US Equity","PROC_FR_REPURCH_EQTY_DETAILED","FQ1 2006","FQ1 2006","Currency=USD","Period=FQ","BEST_FPERIOD_OVERRIDE=FQ","FILING_STATUS=OR","SCALING_FORMAT=MLN","Sort=A","Dates=H","DateFormat=P","Fill=—","Direction=H","UseDPDF=Y")</f>
        <v>-5764</v>
      </c>
      <c r="AH30" s="13">
        <f>_xll.BDH("XOM US Equity","PROC_FR_REPURCH_EQTY_DETAILED","FQ2 2006","FQ2 2006","Currency=USD","Period=FQ","BEST_FPERIOD_OVERRIDE=FQ","FILING_STATUS=OR","SCALING_FORMAT=MLN","Sort=A","Dates=H","DateFormat=P","Fill=—","Direction=H","UseDPDF=Y")</f>
        <v>-6502</v>
      </c>
      <c r="AI30" s="13">
        <f>_xll.BDH("XOM US Equity","PROC_FR_REPURCH_EQTY_DETAILED","FQ3 2006","FQ3 2006","Currency=USD","Period=FQ","BEST_FPERIOD_OVERRIDE=FQ","FILING_STATUS=OR","SCALING_FORMAT=MLN","Sort=A","Dates=H","DateFormat=P","Fill=—","Direction=H","UseDPDF=Y")</f>
        <v>-7843</v>
      </c>
      <c r="AJ30" s="13">
        <f>_xll.BDH("XOM US Equity","PROC_FR_REPURCH_EQTY_DETAILED","FQ4 2006","FQ4 2006","Currency=USD","Period=FQ","BEST_FPERIOD_OVERRIDE=FQ","FILING_STATUS=OR","SCALING_FORMAT=MLN","Sort=A","Dates=H","DateFormat=P","Fill=—","Direction=H","UseDPDF=Y")</f>
        <v>-7814</v>
      </c>
      <c r="AK30" s="13">
        <f>_xll.BDH("XOM US Equity","PROC_FR_REPURCH_EQTY_DETAILED","FQ1 2007","FQ1 2007","Currency=USD","Period=FQ","BEST_FPERIOD_OVERRIDE=FQ","FILING_STATUS=OR","SCALING_FORMAT=MLN","Sort=A","Dates=H","DateFormat=P","Fill=—","Direction=H","UseDPDF=Y")</f>
        <v>-7788</v>
      </c>
      <c r="AL30" s="13">
        <f>_xll.BDH("XOM US Equity","PROC_FR_REPURCH_EQTY_DETAILED","FQ2 2007","FQ2 2007","Currency=USD","Period=FQ","BEST_FPERIOD_OVERRIDE=FQ","FILING_STATUS=OR","SCALING_FORMAT=MLN","Sort=A","Dates=H","DateFormat=P","Fill=—","Direction=H","UseDPDF=Y")</f>
        <v>-7396</v>
      </c>
      <c r="AM30" s="13">
        <f>_xll.BDH("XOM US Equity","PROC_FR_REPURCH_EQTY_DETAILED","FQ3 2007","FQ3 2007","Currency=USD","Period=FQ","BEST_FPERIOD_OVERRIDE=FQ","FILING_STATUS=OR","SCALING_FORMAT=MLN","Sort=A","Dates=H","DateFormat=P","Fill=—","Direction=H","UseDPDF=Y")</f>
        <v>-7453</v>
      </c>
      <c r="AN30" s="13">
        <f>_xll.BDH("XOM US Equity","PROC_FR_REPURCH_EQTY_DETAILED","FQ4 2007","FQ4 2007","Currency=USD","Period=FQ","BEST_FPERIOD_OVERRIDE=FQ","FILING_STATUS=OR","SCALING_FORMAT=MLN","Sort=A","Dates=H","DateFormat=P","Fill=—","Direction=H","UseDPDF=Y")</f>
        <v>-7737</v>
      </c>
      <c r="AO30" s="13">
        <f>_xll.BDH("XOM US Equity","PROC_FR_REPURCH_EQTY_DETAILED","FQ1 2008","FQ1 2008","Currency=USD","Period=FQ","BEST_FPERIOD_OVERRIDE=FQ","FILING_STATUS=OR","SCALING_FORMAT=MLN","Sort=A","Dates=H","DateFormat=P","Fill=—","Direction=H","UseDPDF=Y")</f>
        <v>-9334</v>
      </c>
      <c r="AP30" s="13">
        <f>_xll.BDH("XOM US Equity","PROC_FR_REPURCH_EQTY_DETAILED","FQ2 2008","FQ2 2008","Currency=USD","Period=FQ","BEST_FPERIOD_OVERRIDE=FQ","FILING_STATUS=OR","SCALING_FORMAT=MLN","Sort=A","Dates=H","DateFormat=P","Fill=—","Direction=H","UseDPDF=Y")</f>
        <v>-8304</v>
      </c>
    </row>
    <row r="31" spans="1:42" x14ac:dyDescent="0.25">
      <c r="A31" s="10" t="s">
        <v>326</v>
      </c>
      <c r="B31" s="10" t="s">
        <v>327</v>
      </c>
      <c r="C31" s="13">
        <f>_xll.BDH("XOM US Equity","CF_INCR_CAP_STOCK","FQ3 1998","FQ3 1998","Currency=USD","Period=FQ","BEST_FPERIOD_OVERRIDE=FQ","FILING_STATUS=OR","SCALING_FORMAT=MLN","Sort=A","Dates=H","DateFormat=P","Fill=—","Direction=H","UseDPDF=Y")</f>
        <v>0</v>
      </c>
      <c r="D31" s="13">
        <f>_xll.BDH("XOM US Equity","CF_INCR_CAP_STOCK","FQ4 1998","FQ4 1998","Currency=USD","Period=FQ","BEST_FPERIOD_OVERRIDE=FQ","FILING_STATUS=OR","SCALING_FORMAT=MLN","Sort=A","Dates=H","DateFormat=P","Fill=—","Direction=H","UseDPDF=Y")</f>
        <v>507</v>
      </c>
      <c r="E31" s="13">
        <f>_xll.BDH("XOM US Equity","CF_INCR_CAP_STOCK","FQ1 1999","FQ1 1999","Currency=USD","Period=FQ","BEST_FPERIOD_OVERRIDE=FQ","FILING_STATUS=OR","SCALING_FORMAT=MLN","Sort=A","Dates=H","DateFormat=P","Fill=—","Direction=H","UseDPDF=Y")</f>
        <v>0</v>
      </c>
      <c r="F31" s="13">
        <f>_xll.BDH("XOM US Equity","CF_INCR_CAP_STOCK","FQ2 1999","FQ2 1999","Currency=USD","Period=FQ","BEST_FPERIOD_OVERRIDE=FQ","FILING_STATUS=OR","SCALING_FORMAT=MLN","Sort=A","Dates=H","DateFormat=P","Fill=—","Direction=H","UseDPDF=Y")</f>
        <v>0</v>
      </c>
      <c r="G31" s="13">
        <f>_xll.BDH("XOM US Equity","CF_INCR_CAP_STOCK","FQ3 1999","FQ3 1999","Currency=USD","Period=FQ","BEST_FPERIOD_OVERRIDE=FQ","FILING_STATUS=OR","SCALING_FORMAT=MLN","Sort=A","Dates=H","DateFormat=P","Fill=—","Direction=H","UseDPDF=Y")</f>
        <v>0</v>
      </c>
      <c r="H31" s="13">
        <f>_xll.BDH("XOM US Equity","CF_INCR_CAP_STOCK","FQ4 1999","FQ4 1999","Currency=USD","Period=FQ","BEST_FPERIOD_OVERRIDE=FQ","FILING_STATUS=OR","SCALING_FORMAT=MLN","Sort=A","Dates=H","DateFormat=P","Fill=—","Direction=H","UseDPDF=Y")</f>
        <v>348</v>
      </c>
      <c r="I31" s="13">
        <f>_xll.BDH("XOM US Equity","CF_INCR_CAP_STOCK","FQ1 2000","FQ1 2000","Currency=USD","Period=FQ","BEST_FPERIOD_OVERRIDE=FQ","FILING_STATUS=OR","SCALING_FORMAT=MLN","Sort=A","Dates=H","DateFormat=P","Fill=—","Direction=H","UseDPDF=Y")</f>
        <v>109</v>
      </c>
      <c r="J31" s="13">
        <f>_xll.BDH("XOM US Equity","CF_INCR_CAP_STOCK","FQ2 2000","FQ2 2000","Currency=USD","Period=FQ","BEST_FPERIOD_OVERRIDE=FQ","FILING_STATUS=OR","SCALING_FORMAT=MLN","Sort=A","Dates=H","DateFormat=P","Fill=—","Direction=H","UseDPDF=Y")</f>
        <v>86</v>
      </c>
      <c r="K31" s="13">
        <f>_xll.BDH("XOM US Equity","CF_INCR_CAP_STOCK","FQ3 2000","FQ3 2000","Currency=USD","Period=FQ","BEST_FPERIOD_OVERRIDE=FQ","FILING_STATUS=OR","SCALING_FORMAT=MLN","Sort=A","Dates=H","DateFormat=P","Fill=—","Direction=H","UseDPDF=Y")</f>
        <v>0</v>
      </c>
      <c r="L31" s="13">
        <f>_xll.BDH("XOM US Equity","CF_INCR_CAP_STOCK","FQ4 2000","FQ4 2000","Currency=USD","Period=FQ","BEST_FPERIOD_OVERRIDE=FQ","FILING_STATUS=OR","SCALING_FORMAT=MLN","Sort=A","Dates=H","DateFormat=P","Fill=—","Direction=H","UseDPDF=Y")</f>
        <v>298</v>
      </c>
      <c r="M31" s="13">
        <f>_xll.BDH("XOM US Equity","CF_INCR_CAP_STOCK","FQ1 2001","FQ1 2001","Currency=USD","Period=FQ","BEST_FPERIOD_OVERRIDE=FQ","FILING_STATUS=OR","SCALING_FORMAT=MLN","Sort=A","Dates=H","DateFormat=P","Fill=—","Direction=H","UseDPDF=Y")</f>
        <v>0</v>
      </c>
      <c r="N31" s="13">
        <f>_xll.BDH("XOM US Equity","CF_INCR_CAP_STOCK","FQ2 2001","FQ2 2001","Currency=USD","Period=FQ","BEST_FPERIOD_OVERRIDE=FQ","FILING_STATUS=OR","SCALING_FORMAT=MLN","Sort=A","Dates=H","DateFormat=P","Fill=—","Direction=H","UseDPDF=Y")</f>
        <v>0</v>
      </c>
      <c r="O31" s="13">
        <f>_xll.BDH("XOM US Equity","CF_INCR_CAP_STOCK","FQ3 2001","FQ3 2001","Currency=USD","Period=FQ","BEST_FPERIOD_OVERRIDE=FQ","FILING_STATUS=OR","SCALING_FORMAT=MLN","Sort=A","Dates=H","DateFormat=P","Fill=—","Direction=H","UseDPDF=Y")</f>
        <v>0</v>
      </c>
      <c r="P31" s="13">
        <f>_xll.BDH("XOM US Equity","CF_INCR_CAP_STOCK","FQ4 2001","FQ4 2001","Currency=USD","Period=FQ","BEST_FPERIOD_OVERRIDE=FQ","FILING_STATUS=OR","SCALING_FORMAT=MLN","Sort=A","Dates=H","DateFormat=P","Fill=—","Direction=H","UseDPDF=Y")</f>
        <v>301</v>
      </c>
      <c r="Q31" s="13">
        <f>_xll.BDH("XOM US Equity","CF_INCR_CAP_STOCK","FQ1 2002","FQ1 2002","Currency=USD","Period=FQ","BEST_FPERIOD_OVERRIDE=FQ","FILING_STATUS=OR","SCALING_FORMAT=MLN","Sort=A","Dates=H","DateFormat=P","Fill=—","Direction=H","UseDPDF=Y")</f>
        <v>0</v>
      </c>
      <c r="R31" s="13">
        <f>_xll.BDH("XOM US Equity","CF_INCR_CAP_STOCK","FQ2 2002","FQ2 2002","Currency=USD","Period=FQ","BEST_FPERIOD_OVERRIDE=FQ","FILING_STATUS=OR","SCALING_FORMAT=MLN","Sort=A","Dates=H","DateFormat=P","Fill=—","Direction=H","UseDPDF=Y")</f>
        <v>0</v>
      </c>
      <c r="S31" s="13">
        <f>_xll.BDH("XOM US Equity","CF_INCR_CAP_STOCK","FQ3 2002","FQ3 2002","Currency=USD","Period=FQ","BEST_FPERIOD_OVERRIDE=FQ","FILING_STATUS=OR","SCALING_FORMAT=MLN","Sort=A","Dates=H","DateFormat=P","Fill=—","Direction=H","UseDPDF=Y")</f>
        <v>0</v>
      </c>
      <c r="T31" s="13">
        <f>_xll.BDH("XOM US Equity","CF_INCR_CAP_STOCK","FQ4 2002","FQ4 2002","Currency=USD","Period=FQ","BEST_FPERIOD_OVERRIDE=FQ","FILING_STATUS=OR","SCALING_FORMAT=MLN","Sort=A","Dates=H","DateFormat=P","Fill=—","Direction=H","UseDPDF=Y")</f>
        <v>299</v>
      </c>
      <c r="U31" s="13">
        <f>_xll.BDH("XOM US Equity","CF_INCR_CAP_STOCK","FQ1 2003","FQ1 2003","Currency=USD","Period=FQ","BEST_FPERIOD_OVERRIDE=FQ","FILING_STATUS=OR","SCALING_FORMAT=MLN","Sort=A","Dates=H","DateFormat=P","Fill=—","Direction=H","UseDPDF=Y")</f>
        <v>0</v>
      </c>
      <c r="V31" s="13">
        <f>_xll.BDH("XOM US Equity","CF_INCR_CAP_STOCK","FQ2 2003","FQ2 2003","Currency=USD","Period=FQ","BEST_FPERIOD_OVERRIDE=FQ","FILING_STATUS=OR","SCALING_FORMAT=MLN","Sort=A","Dates=H","DateFormat=P","Fill=—","Direction=H","UseDPDF=Y")</f>
        <v>0</v>
      </c>
      <c r="W31" s="13">
        <f>_xll.BDH("XOM US Equity","CF_INCR_CAP_STOCK","FQ3 2003","FQ3 2003","Currency=USD","Period=FQ","BEST_FPERIOD_OVERRIDE=FQ","FILING_STATUS=OR","SCALING_FORMAT=MLN","Sort=A","Dates=H","DateFormat=P","Fill=—","Direction=H","UseDPDF=Y")</f>
        <v>0</v>
      </c>
      <c r="X31" s="13">
        <f>_xll.BDH("XOM US Equity","CF_INCR_CAP_STOCK","FQ4 2003","FQ4 2003","Currency=USD","Period=FQ","BEST_FPERIOD_OVERRIDE=FQ","FILING_STATUS=OR","SCALING_FORMAT=MLN","Sort=A","Dates=H","DateFormat=P","Fill=—","Direction=H","UseDPDF=Y")</f>
        <v>434</v>
      </c>
      <c r="Y31" s="13">
        <f>_xll.BDH("XOM US Equity","CF_INCR_CAP_STOCK","FQ1 2004","FQ1 2004","Currency=USD","Period=FQ","BEST_FPERIOD_OVERRIDE=FQ","FILING_STATUS=OR","SCALING_FORMAT=MLN","Sort=A","Dates=H","DateFormat=P","Fill=—","Direction=H","UseDPDF=Y")</f>
        <v>0</v>
      </c>
      <c r="Z31" s="13">
        <f>_xll.BDH("XOM US Equity","CF_INCR_CAP_STOCK","FQ2 2004","FQ2 2004","Currency=USD","Period=FQ","BEST_FPERIOD_OVERRIDE=FQ","FILING_STATUS=OR","SCALING_FORMAT=MLN","Sort=A","Dates=H","DateFormat=P","Fill=—","Direction=H","UseDPDF=Y")</f>
        <v>0</v>
      </c>
      <c r="AA31" s="13">
        <f>_xll.BDH("XOM US Equity","CF_INCR_CAP_STOCK","FQ3 2004","FQ3 2004","Currency=USD","Period=FQ","BEST_FPERIOD_OVERRIDE=FQ","FILING_STATUS=OR","SCALING_FORMAT=MLN","Sort=A","Dates=H","DateFormat=P","Fill=—","Direction=H","UseDPDF=Y")</f>
        <v>0</v>
      </c>
      <c r="AB31" s="13">
        <f>_xll.BDH("XOM US Equity","CF_INCR_CAP_STOCK","FQ4 2004","FQ4 2004","Currency=USD","Period=FQ","BEST_FPERIOD_OVERRIDE=FQ","FILING_STATUS=OR","SCALING_FORMAT=MLN","Sort=A","Dates=H","DateFormat=P","Fill=—","Direction=H","UseDPDF=Y")</f>
        <v>960</v>
      </c>
      <c r="AC31" s="13">
        <f>_xll.BDH("XOM US Equity","CF_INCR_CAP_STOCK","FQ1 2005","FQ1 2005","Currency=USD","Period=FQ","BEST_FPERIOD_OVERRIDE=FQ","FILING_STATUS=OR","SCALING_FORMAT=MLN","Sort=A","Dates=H","DateFormat=P","Fill=—","Direction=H","UseDPDF=Y")</f>
        <v>0</v>
      </c>
      <c r="AD31" s="13">
        <f>_xll.BDH("XOM US Equity","CF_INCR_CAP_STOCK","FQ2 2005","FQ2 2005","Currency=USD","Period=FQ","BEST_FPERIOD_OVERRIDE=FQ","FILING_STATUS=OR","SCALING_FORMAT=MLN","Sort=A","Dates=H","DateFormat=P","Fill=—","Direction=H","UseDPDF=Y")</f>
        <v>0</v>
      </c>
      <c r="AE31" s="13">
        <f>_xll.BDH("XOM US Equity","CF_INCR_CAP_STOCK","FQ3 2005","FQ3 2005","Currency=USD","Period=FQ","BEST_FPERIOD_OVERRIDE=FQ","FILING_STATUS=OR","SCALING_FORMAT=MLN","Sort=A","Dates=H","DateFormat=P","Fill=—","Direction=H","UseDPDF=Y")</f>
        <v>0</v>
      </c>
      <c r="AF31" s="13">
        <f>_xll.BDH("XOM US Equity","CF_INCR_CAP_STOCK","FQ4 2005","FQ4 2005","Currency=USD","Period=FQ","BEST_FPERIOD_OVERRIDE=FQ","FILING_STATUS=OR","SCALING_FORMAT=MLN","Sort=A","Dates=H","DateFormat=P","Fill=—","Direction=H","UseDPDF=Y")</f>
        <v>941</v>
      </c>
      <c r="AG31" s="13">
        <f>_xll.BDH("XOM US Equity","CF_INCR_CAP_STOCK","FQ1 2006","FQ1 2006","Currency=USD","Period=FQ","BEST_FPERIOD_OVERRIDE=FQ","FILING_STATUS=OR","SCALING_FORMAT=MLN","Sort=A","Dates=H","DateFormat=P","Fill=—","Direction=H","UseDPDF=Y")</f>
        <v>0</v>
      </c>
      <c r="AH31" s="13">
        <f>_xll.BDH("XOM US Equity","CF_INCR_CAP_STOCK","FQ2 2006","FQ2 2006","Currency=USD","Period=FQ","BEST_FPERIOD_OVERRIDE=FQ","FILING_STATUS=OR","SCALING_FORMAT=MLN","Sort=A","Dates=H","DateFormat=P","Fill=—","Direction=H","UseDPDF=Y")</f>
        <v>128</v>
      </c>
      <c r="AI31" s="13">
        <f>_xll.BDH("XOM US Equity","CF_INCR_CAP_STOCK","FQ3 2006","FQ3 2006","Currency=USD","Period=FQ","BEST_FPERIOD_OVERRIDE=FQ","FILING_STATUS=OR","SCALING_FORMAT=MLN","Sort=A","Dates=H","DateFormat=P","Fill=—","Direction=H","UseDPDF=Y")</f>
        <v>142</v>
      </c>
      <c r="AJ31" s="13">
        <f>_xll.BDH("XOM US Equity","CF_INCR_CAP_STOCK","FQ4 2006","FQ4 2006","Currency=USD","Period=FQ","BEST_FPERIOD_OVERRIDE=FQ","FILING_STATUS=OR","SCALING_FORMAT=MLN","Sort=A","Dates=H","DateFormat=P","Fill=—","Direction=H","UseDPDF=Y")</f>
        <v>1365</v>
      </c>
      <c r="AK31" s="13">
        <f>_xll.BDH("XOM US Equity","CF_INCR_CAP_STOCK","FQ1 2007","FQ1 2007","Currency=USD","Period=FQ","BEST_FPERIOD_OVERRIDE=FQ","FILING_STATUS=OR","SCALING_FORMAT=MLN","Sort=A","Dates=H","DateFormat=P","Fill=—","Direction=H","UseDPDF=Y")</f>
        <v>0</v>
      </c>
      <c r="AL31" s="13">
        <f>_xll.BDH("XOM US Equity","CF_INCR_CAP_STOCK","FQ2 2007","FQ2 2007","Currency=USD","Period=FQ","BEST_FPERIOD_OVERRIDE=FQ","FILING_STATUS=OR","SCALING_FORMAT=MLN","Sort=A","Dates=H","DateFormat=P","Fill=—","Direction=H","UseDPDF=Y")</f>
        <v>237</v>
      </c>
      <c r="AM31" s="13">
        <f>_xll.BDH("XOM US Equity","CF_INCR_CAP_STOCK","FQ3 2007","FQ3 2007","Currency=USD","Period=FQ","BEST_FPERIOD_OVERRIDE=FQ","FILING_STATUS=OR","SCALING_FORMAT=MLN","Sort=A","Dates=H","DateFormat=P","Fill=—","Direction=H","UseDPDF=Y")</f>
        <v>1010</v>
      </c>
      <c r="AN31" s="13">
        <f>_xll.BDH("XOM US Equity","CF_INCR_CAP_STOCK","FQ4 2007","FQ4 2007","Currency=USD","Period=FQ","BEST_FPERIOD_OVERRIDE=FQ","FILING_STATUS=OR","SCALING_FORMAT=MLN","Sort=A","Dates=H","DateFormat=P","Fill=—","Direction=H","UseDPDF=Y")</f>
        <v>201</v>
      </c>
      <c r="AO31" s="13">
        <f>_xll.BDH("XOM US Equity","CF_INCR_CAP_STOCK","FQ1 2008","FQ1 2008","Currency=USD","Period=FQ","BEST_FPERIOD_OVERRIDE=FQ","FILING_STATUS=OR","SCALING_FORMAT=MLN","Sort=A","Dates=H","DateFormat=P","Fill=—","Direction=H","UseDPDF=Y")</f>
        <v>131</v>
      </c>
      <c r="AP31" s="13">
        <f>_xll.BDH("XOM US Equity","CF_INCR_CAP_STOCK","FQ2 2008","FQ2 2008","Currency=USD","Period=FQ","BEST_FPERIOD_OVERRIDE=FQ","FILING_STATUS=OR","SCALING_FORMAT=MLN","Sort=A","Dates=H","DateFormat=P","Fill=—","Direction=H","UseDPDF=Y")</f>
        <v>457</v>
      </c>
    </row>
    <row r="32" spans="1:42" x14ac:dyDescent="0.25">
      <c r="A32" s="10" t="s">
        <v>328</v>
      </c>
      <c r="B32" s="10" t="s">
        <v>329</v>
      </c>
      <c r="C32" s="13">
        <f>_xll.BDH("XOM US Equity","CF_DECR_CAP_STOCK","FQ3 1998","FQ3 1998","Currency=USD","Period=FQ","BEST_FPERIOD_OVERRIDE=FQ","FILING_STATUS=OR","SCALING_FORMAT=MLN","Sort=A","Dates=H","DateFormat=P","Fill=—","Direction=H","UseDPDF=Y")</f>
        <v>-583</v>
      </c>
      <c r="D32" s="13">
        <f>_xll.BDH("XOM US Equity","CF_DECR_CAP_STOCK","FQ4 1998","FQ4 1998","Currency=USD","Period=FQ","BEST_FPERIOD_OVERRIDE=FQ","FILING_STATUS=OR","SCALING_FORMAT=MLN","Sort=A","Dates=H","DateFormat=P","Fill=—","Direction=H","UseDPDF=Y")</f>
        <v>-1216</v>
      </c>
      <c r="E32" s="13">
        <f>_xll.BDH("XOM US Equity","CF_DECR_CAP_STOCK","FQ1 1999","FQ1 1999","Currency=USD","Period=FQ","BEST_FPERIOD_OVERRIDE=FQ","FILING_STATUS=OR","SCALING_FORMAT=MLN","Sort=A","Dates=H","DateFormat=P","Fill=—","Direction=H","UseDPDF=Y")</f>
        <v>-108</v>
      </c>
      <c r="F32" s="13">
        <f>_xll.BDH("XOM US Equity","CF_DECR_CAP_STOCK","FQ2 1999","FQ2 1999","Currency=USD","Period=FQ","BEST_FPERIOD_OVERRIDE=FQ","FILING_STATUS=OR","SCALING_FORMAT=MLN","Sort=A","Dates=H","DateFormat=P","Fill=—","Direction=H","UseDPDF=Y")</f>
        <v>-243</v>
      </c>
      <c r="G32" s="13">
        <f>_xll.BDH("XOM US Equity","CF_DECR_CAP_STOCK","FQ3 1999","FQ3 1999","Currency=USD","Period=FQ","BEST_FPERIOD_OVERRIDE=FQ","FILING_STATUS=OR","SCALING_FORMAT=MLN","Sort=A","Dates=H","DateFormat=P","Fill=—","Direction=H","UseDPDF=Y")</f>
        <v>-63</v>
      </c>
      <c r="H32" s="13">
        <f>_xll.BDH("XOM US Equity","CF_DECR_CAP_STOCK","FQ4 1999","FQ4 1999","Currency=USD","Period=FQ","BEST_FPERIOD_OVERRIDE=FQ","FILING_STATUS=OR","SCALING_FORMAT=MLN","Sort=A","Dates=H","DateFormat=P","Fill=—","Direction=H","UseDPDF=Y")</f>
        <v>-256</v>
      </c>
      <c r="I32" s="13">
        <f>_xll.BDH("XOM US Equity","CF_DECR_CAP_STOCK","FQ1 2000","FQ1 2000","Currency=USD","Period=FQ","BEST_FPERIOD_OVERRIDE=FQ","FILING_STATUS=OR","SCALING_FORMAT=MLN","Sort=A","Dates=H","DateFormat=P","Fill=—","Direction=H","UseDPDF=Y")</f>
        <v>0</v>
      </c>
      <c r="J32" s="13">
        <f>_xll.BDH("XOM US Equity","CF_DECR_CAP_STOCK","FQ2 2000","FQ2 2000","Currency=USD","Period=FQ","BEST_FPERIOD_OVERRIDE=FQ","FILING_STATUS=OR","SCALING_FORMAT=MLN","Sort=A","Dates=H","DateFormat=P","Fill=—","Direction=H","UseDPDF=Y")</f>
        <v>0</v>
      </c>
      <c r="K32" s="13">
        <f>_xll.BDH("XOM US Equity","CF_DECR_CAP_STOCK","FQ3 2000","FQ3 2000","Currency=USD","Period=FQ","BEST_FPERIOD_OVERRIDE=FQ","FILING_STATUS=OR","SCALING_FORMAT=MLN","Sort=A","Dates=H","DateFormat=P","Fill=—","Direction=H","UseDPDF=Y")</f>
        <v>-856</v>
      </c>
      <c r="L32" s="13">
        <f>_xll.BDH("XOM US Equity","CF_DECR_CAP_STOCK","FQ4 2000","FQ4 2000","Currency=USD","Period=FQ","BEST_FPERIOD_OVERRIDE=FQ","FILING_STATUS=OR","SCALING_FORMAT=MLN","Sort=A","Dates=H","DateFormat=P","Fill=—","Direction=H","UseDPDF=Y")</f>
        <v>-1496</v>
      </c>
      <c r="M32" s="13">
        <f>_xll.BDH("XOM US Equity","CF_DECR_CAP_STOCK","FQ1 2001","FQ1 2001","Currency=USD","Period=FQ","BEST_FPERIOD_OVERRIDE=FQ","FILING_STATUS=OR","SCALING_FORMAT=MLN","Sort=A","Dates=H","DateFormat=P","Fill=—","Direction=H","UseDPDF=Y")</f>
        <v>-1370</v>
      </c>
      <c r="N32" s="13">
        <f>_xll.BDH("XOM US Equity","CF_DECR_CAP_STOCK","FQ2 2001","FQ2 2001","Currency=USD","Period=FQ","BEST_FPERIOD_OVERRIDE=FQ","FILING_STATUS=OR","SCALING_FORMAT=MLN","Sort=A","Dates=H","DateFormat=P","Fill=—","Direction=H","UseDPDF=Y")</f>
        <v>-1406</v>
      </c>
      <c r="O32" s="13">
        <f>_xll.BDH("XOM US Equity","CF_DECR_CAP_STOCK","FQ3 2001","FQ3 2001","Currency=USD","Period=FQ","BEST_FPERIOD_OVERRIDE=FQ","FILING_STATUS=OR","SCALING_FORMAT=MLN","Sort=A","Dates=H","DateFormat=P","Fill=—","Direction=H","UseDPDF=Y")</f>
        <v>-1289</v>
      </c>
      <c r="P32" s="13">
        <f>_xll.BDH("XOM US Equity","CF_DECR_CAP_STOCK","FQ4 2001","FQ4 2001","Currency=USD","Period=FQ","BEST_FPERIOD_OVERRIDE=FQ","FILING_STATUS=OR","SCALING_FORMAT=MLN","Sort=A","Dates=H","DateFormat=P","Fill=—","Direction=H","UseDPDF=Y")</f>
        <v>-1656</v>
      </c>
      <c r="Q32" s="13">
        <f>_xll.BDH("XOM US Equity","CF_DECR_CAP_STOCK","FQ1 2002","FQ1 2002","Currency=USD","Period=FQ","BEST_FPERIOD_OVERRIDE=FQ","FILING_STATUS=OR","SCALING_FORMAT=MLN","Sort=A","Dates=H","DateFormat=P","Fill=—","Direction=H","UseDPDF=Y")</f>
        <v>-1317</v>
      </c>
      <c r="R32" s="13">
        <f>_xll.BDH("XOM US Equity","CF_DECR_CAP_STOCK","FQ2 2002","FQ2 2002","Currency=USD","Period=FQ","BEST_FPERIOD_OVERRIDE=FQ","FILING_STATUS=OR","SCALING_FORMAT=MLN","Sort=A","Dates=H","DateFormat=P","Fill=—","Direction=H","UseDPDF=Y")</f>
        <v>-1052</v>
      </c>
      <c r="S32" s="13">
        <f>_xll.BDH("XOM US Equity","CF_DECR_CAP_STOCK","FQ3 2002","FQ3 2002","Currency=USD","Period=FQ","BEST_FPERIOD_OVERRIDE=FQ","FILING_STATUS=OR","SCALING_FORMAT=MLN","Sort=A","Dates=H","DateFormat=P","Fill=—","Direction=H","UseDPDF=Y")</f>
        <v>-1033</v>
      </c>
      <c r="T32" s="13">
        <f>_xll.BDH("XOM US Equity","CF_DECR_CAP_STOCK","FQ4 2002","FQ4 2002","Currency=USD","Period=FQ","BEST_FPERIOD_OVERRIDE=FQ","FILING_STATUS=OR","SCALING_FORMAT=MLN","Sort=A","Dates=H","DateFormat=P","Fill=—","Direction=H","UseDPDF=Y")</f>
        <v>-1396</v>
      </c>
      <c r="U32" s="13">
        <f>_xll.BDH("XOM US Equity","CF_DECR_CAP_STOCK","FQ1 2003","FQ1 2003","Currency=USD","Period=FQ","BEST_FPERIOD_OVERRIDE=FQ","FILING_STATUS=OR","SCALING_FORMAT=MLN","Sort=A","Dates=H","DateFormat=P","Fill=—","Direction=H","UseDPDF=Y")</f>
        <v>-1155</v>
      </c>
      <c r="V32" s="13">
        <f>_xll.BDH("XOM US Equity","CF_DECR_CAP_STOCK","FQ2 2003","FQ2 2003","Currency=USD","Period=FQ","BEST_FPERIOD_OVERRIDE=FQ","FILING_STATUS=OR","SCALING_FORMAT=MLN","Sort=A","Dates=H","DateFormat=P","Fill=—","Direction=H","UseDPDF=Y")</f>
        <v>-1056</v>
      </c>
      <c r="W32" s="13">
        <f>_xll.BDH("XOM US Equity","CF_DECR_CAP_STOCK","FQ3 2003","FQ3 2003","Currency=USD","Period=FQ","BEST_FPERIOD_OVERRIDE=FQ","FILING_STATUS=OR","SCALING_FORMAT=MLN","Sort=A","Dates=H","DateFormat=P","Fill=—","Direction=H","UseDPDF=Y")</f>
        <v>-1577</v>
      </c>
      <c r="X32" s="13">
        <f>_xll.BDH("XOM US Equity","CF_DECR_CAP_STOCK","FQ4 2003","FQ4 2003","Currency=USD","Period=FQ","BEST_FPERIOD_OVERRIDE=FQ","FILING_STATUS=OR","SCALING_FORMAT=MLN","Sort=A","Dates=H","DateFormat=P","Fill=—","Direction=H","UseDPDF=Y")</f>
        <v>-2093</v>
      </c>
      <c r="Y32" s="13">
        <f>_xll.BDH("XOM US Equity","CF_DECR_CAP_STOCK","FQ1 2004","FQ1 2004","Currency=USD","Period=FQ","BEST_FPERIOD_OVERRIDE=FQ","FILING_STATUS=OR","SCALING_FORMAT=MLN","Sort=A","Dates=H","DateFormat=P","Fill=—","Direction=H","UseDPDF=Y")</f>
        <v>-1745</v>
      </c>
      <c r="Z32" s="13">
        <f>_xll.BDH("XOM US Equity","CF_DECR_CAP_STOCK","FQ2 2004","FQ2 2004","Currency=USD","Period=FQ","BEST_FPERIOD_OVERRIDE=FQ","FILING_STATUS=OR","SCALING_FORMAT=MLN","Sort=A","Dates=H","DateFormat=P","Fill=—","Direction=H","UseDPDF=Y")</f>
        <v>-1730</v>
      </c>
      <c r="AA32" s="13">
        <f>_xll.BDH("XOM US Equity","CF_DECR_CAP_STOCK","FQ3 2004","FQ3 2004","Currency=USD","Period=FQ","BEST_FPERIOD_OVERRIDE=FQ","FILING_STATUS=OR","SCALING_FORMAT=MLN","Sort=A","Dates=H","DateFormat=P","Fill=—","Direction=H","UseDPDF=Y")</f>
        <v>-2760</v>
      </c>
      <c r="AB32" s="13">
        <f>_xll.BDH("XOM US Equity","CF_DECR_CAP_STOCK","FQ4 2004","FQ4 2004","Currency=USD","Period=FQ","BEST_FPERIOD_OVERRIDE=FQ","FILING_STATUS=OR","SCALING_FORMAT=MLN","Sort=A","Dates=H","DateFormat=P","Fill=—","Direction=H","UseDPDF=Y")</f>
        <v>-3716</v>
      </c>
      <c r="AC32" s="13">
        <f>_xll.BDH("XOM US Equity","CF_DECR_CAP_STOCK","FQ1 2005","FQ1 2005","Currency=USD","Period=FQ","BEST_FPERIOD_OVERRIDE=FQ","FILING_STATUS=OR","SCALING_FORMAT=MLN","Sort=A","Dates=H","DateFormat=P","Fill=—","Direction=H","UseDPDF=Y")</f>
        <v>-3087</v>
      </c>
      <c r="AD32" s="13">
        <f>_xll.BDH("XOM US Equity","CF_DECR_CAP_STOCK","FQ2 2005","FQ2 2005","Currency=USD","Period=FQ","BEST_FPERIOD_OVERRIDE=FQ","FILING_STATUS=OR","SCALING_FORMAT=MLN","Sort=A","Dates=H","DateFormat=P","Fill=—","Direction=H","UseDPDF=Y")</f>
        <v>-3609</v>
      </c>
      <c r="AE32" s="13">
        <f>_xll.BDH("XOM US Equity","CF_DECR_CAP_STOCK","FQ3 2005","FQ3 2005","Currency=USD","Period=FQ","BEST_FPERIOD_OVERRIDE=FQ","FILING_STATUS=OR","SCALING_FORMAT=MLN","Sort=A","Dates=H","DateFormat=P","Fill=—","Direction=H","UseDPDF=Y")</f>
        <v>-5289</v>
      </c>
      <c r="AF32" s="13">
        <f>_xll.BDH("XOM US Equity","CF_DECR_CAP_STOCK","FQ4 2005","FQ4 2005","Currency=USD","Period=FQ","BEST_FPERIOD_OVERRIDE=FQ","FILING_STATUS=OR","SCALING_FORMAT=MLN","Sort=A","Dates=H","DateFormat=P","Fill=—","Direction=H","UseDPDF=Y")</f>
        <v>-6236</v>
      </c>
      <c r="AG32" s="13">
        <f>_xll.BDH("XOM US Equity","CF_DECR_CAP_STOCK","FQ1 2006","FQ1 2006","Currency=USD","Period=FQ","BEST_FPERIOD_OVERRIDE=FQ","FILING_STATUS=OR","SCALING_FORMAT=MLN","Sort=A","Dates=H","DateFormat=P","Fill=—","Direction=H","UseDPDF=Y")</f>
        <v>-5764</v>
      </c>
      <c r="AH32" s="13">
        <f>_xll.BDH("XOM US Equity","CF_DECR_CAP_STOCK","FQ2 2006","FQ2 2006","Currency=USD","Period=FQ","BEST_FPERIOD_OVERRIDE=FQ","FILING_STATUS=OR","SCALING_FORMAT=MLN","Sort=A","Dates=H","DateFormat=P","Fill=—","Direction=H","UseDPDF=Y")</f>
        <v>-6630</v>
      </c>
      <c r="AI32" s="13">
        <f>_xll.BDH("XOM US Equity","CF_DECR_CAP_STOCK","FQ3 2006","FQ3 2006","Currency=USD","Period=FQ","BEST_FPERIOD_OVERRIDE=FQ","FILING_STATUS=OR","SCALING_FORMAT=MLN","Sort=A","Dates=H","DateFormat=P","Fill=—","Direction=H","UseDPDF=Y")</f>
        <v>-7985</v>
      </c>
      <c r="AJ32" s="13">
        <f>_xll.BDH("XOM US Equity","CF_DECR_CAP_STOCK","FQ4 2006","FQ4 2006","Currency=USD","Period=FQ","BEST_FPERIOD_OVERRIDE=FQ","FILING_STATUS=OR","SCALING_FORMAT=MLN","Sort=A","Dates=H","DateFormat=P","Fill=—","Direction=H","UseDPDF=Y")</f>
        <v>-9179</v>
      </c>
      <c r="AK32" s="13">
        <f>_xll.BDH("XOM US Equity","CF_DECR_CAP_STOCK","FQ1 2007","FQ1 2007","Currency=USD","Period=FQ","BEST_FPERIOD_OVERRIDE=FQ","FILING_STATUS=OR","SCALING_FORMAT=MLN","Sort=A","Dates=H","DateFormat=P","Fill=—","Direction=H","UseDPDF=Y")</f>
        <v>-7788</v>
      </c>
      <c r="AL32" s="13">
        <f>_xll.BDH("XOM US Equity","CF_DECR_CAP_STOCK","FQ2 2007","FQ2 2007","Currency=USD","Period=FQ","BEST_FPERIOD_OVERRIDE=FQ","FILING_STATUS=OR","SCALING_FORMAT=MLN","Sort=A","Dates=H","DateFormat=P","Fill=—","Direction=H","UseDPDF=Y")</f>
        <v>-7633</v>
      </c>
      <c r="AM32" s="13">
        <f>_xll.BDH("XOM US Equity","CF_DECR_CAP_STOCK","FQ3 2007","FQ3 2007","Currency=USD","Period=FQ","BEST_FPERIOD_OVERRIDE=FQ","FILING_STATUS=OR","SCALING_FORMAT=MLN","Sort=A","Dates=H","DateFormat=P","Fill=—","Direction=H","UseDPDF=Y")</f>
        <v>-8463</v>
      </c>
      <c r="AN32" s="13">
        <f>_xll.BDH("XOM US Equity","CF_DECR_CAP_STOCK","FQ4 2007","FQ4 2007","Currency=USD","Period=FQ","BEST_FPERIOD_OVERRIDE=FQ","FILING_STATUS=OR","SCALING_FORMAT=MLN","Sort=A","Dates=H","DateFormat=P","Fill=—","Direction=H","UseDPDF=Y")</f>
        <v>-7938</v>
      </c>
      <c r="AO32" s="13">
        <f>_xll.BDH("XOM US Equity","CF_DECR_CAP_STOCK","FQ1 2008","FQ1 2008","Currency=USD","Period=FQ","BEST_FPERIOD_OVERRIDE=FQ","FILING_STATUS=OR","SCALING_FORMAT=MLN","Sort=A","Dates=H","DateFormat=P","Fill=—","Direction=H","UseDPDF=Y")</f>
        <v>-9465</v>
      </c>
      <c r="AP32" s="13">
        <f>_xll.BDH("XOM US Equity","CF_DECR_CAP_STOCK","FQ2 2008","FQ2 2008","Currency=USD","Period=FQ","BEST_FPERIOD_OVERRIDE=FQ","FILING_STATUS=OR","SCALING_FORMAT=MLN","Sort=A","Dates=H","DateFormat=P","Fill=—","Direction=H","UseDPDF=Y")</f>
        <v>-8761</v>
      </c>
    </row>
    <row r="33" spans="1:42" x14ac:dyDescent="0.25">
      <c r="A33" s="6" t="s">
        <v>319</v>
      </c>
      <c r="B33" s="6" t="s">
        <v>330</v>
      </c>
      <c r="C33" s="16">
        <f>_xll.BDH("XOM US Equity","CFF_ACTIVITIES_DETAILED","FQ3 1998","FQ3 1998","Currency=USD","Period=FQ","BEST_FPERIOD_OVERRIDE=FQ","FILING_STATUS=OR","SCALING_FORMAT=MLN","Sort=A","Dates=H","DateFormat=P","Fill=—","Direction=H","UseDPDF=Y")</f>
        <v>-1654</v>
      </c>
      <c r="D33" s="16">
        <f>_xll.BDH("XOM US Equity","CFF_ACTIVITIES_DETAILED","FQ4 1998","FQ4 1998","Currency=USD","Period=FQ","BEST_FPERIOD_OVERRIDE=FQ","FILING_STATUS=OR","SCALING_FORMAT=MLN","Sort=A","Dates=H","DateFormat=P","Fill=—","Direction=H","UseDPDF=Y")</f>
        <v>-1485</v>
      </c>
      <c r="E33" s="16">
        <f>_xll.BDH("XOM US Equity","CFF_ACTIVITIES_DETAILED","FQ1 1999","FQ1 1999","Currency=USD","Period=FQ","BEST_FPERIOD_OVERRIDE=FQ","FILING_STATUS=OR","SCALING_FORMAT=MLN","Sort=A","Dates=H","DateFormat=P","Fill=—","Direction=H","UseDPDF=Y")</f>
        <v>-1561</v>
      </c>
      <c r="F33" s="16">
        <f>_xll.BDH("XOM US Equity","CFF_ACTIVITIES_DETAILED","FQ2 1999","FQ2 1999","Currency=USD","Period=FQ","BEST_FPERIOD_OVERRIDE=FQ","FILING_STATUS=OR","SCALING_FORMAT=MLN","Sort=A","Dates=H","DateFormat=P","Fill=—","Direction=H","UseDPDF=Y")</f>
        <v>-221</v>
      </c>
      <c r="G33" s="16">
        <f>_xll.BDH("XOM US Equity","CFF_ACTIVITIES_DETAILED","FQ3 1999","FQ3 1999","Currency=USD","Period=FQ","BEST_FPERIOD_OVERRIDE=FQ","FILING_STATUS=OR","SCALING_FORMAT=MLN","Sort=A","Dates=H","DateFormat=P","Fill=—","Direction=H","UseDPDF=Y")</f>
        <v>-1158</v>
      </c>
      <c r="H33" s="16">
        <f>_xll.BDH("XOM US Equity","CFF_ACTIVITIES_DETAILED","FQ4 1999","FQ4 1999","Currency=USD","Period=FQ","BEST_FPERIOD_OVERRIDE=FQ","FILING_STATUS=OR","SCALING_FORMAT=MLN","Sort=A","Dates=H","DateFormat=P","Fill=—","Direction=H","UseDPDF=Y")</f>
        <v>-1786</v>
      </c>
      <c r="I33" s="16">
        <f>_xll.BDH("XOM US Equity","CFF_ACTIVITIES_DETAILED","FQ1 2000","FQ1 2000","Currency=USD","Period=FQ","BEST_FPERIOD_OVERRIDE=FQ","FILING_STATUS=OR","SCALING_FORMAT=MLN","Sort=A","Dates=H","DateFormat=P","Fill=—","Direction=H","UseDPDF=Y")</f>
        <v>-5108</v>
      </c>
      <c r="J33" s="16">
        <f>_xll.BDH("XOM US Equity","CFF_ACTIVITIES_DETAILED","FQ2 2000","FQ2 2000","Currency=USD","Period=FQ","BEST_FPERIOD_OVERRIDE=FQ","FILING_STATUS=OR","SCALING_FORMAT=MLN","Sort=A","Dates=H","DateFormat=P","Fill=—","Direction=H","UseDPDF=Y")</f>
        <v>-2328</v>
      </c>
      <c r="K33" s="16">
        <f>_xll.BDH("XOM US Equity","CFF_ACTIVITIES_DETAILED","FQ3 2000","FQ3 2000","Currency=USD","Period=FQ","BEST_FPERIOD_OVERRIDE=FQ","FILING_STATUS=OR","SCALING_FORMAT=MLN","Sort=A","Dates=H","DateFormat=P","Fill=—","Direction=H","UseDPDF=Y")</f>
        <v>-2767</v>
      </c>
      <c r="L33" s="16">
        <f>_xll.BDH("XOM US Equity","CFF_ACTIVITIES_DETAILED","FQ4 2000","FQ4 2000","Currency=USD","Period=FQ","BEST_FPERIOD_OVERRIDE=FQ","FILING_STATUS=OR","SCALING_FORMAT=MLN","Sort=A","Dates=H","DateFormat=P","Fill=—","Direction=H","UseDPDF=Y")</f>
        <v>-4044</v>
      </c>
      <c r="M33" s="16">
        <f>_xll.BDH("XOM US Equity","CFF_ACTIVITIES_DETAILED","FQ1 2001","FQ1 2001","Currency=USD","Period=FQ","BEST_FPERIOD_OVERRIDE=FQ","FILING_STATUS=OR","SCALING_FORMAT=MLN","Sort=A","Dates=H","DateFormat=P","Fill=—","Direction=H","UseDPDF=Y")</f>
        <v>-3811</v>
      </c>
      <c r="N33" s="16">
        <f>_xll.BDH("XOM US Equity","CFF_ACTIVITIES_DETAILED","FQ2 2001","FQ2 2001","Currency=USD","Period=FQ","BEST_FPERIOD_OVERRIDE=FQ","FILING_STATUS=OR","SCALING_FORMAT=MLN","Sort=A","Dates=H","DateFormat=P","Fill=—","Direction=H","UseDPDF=Y")</f>
        <v>-4901</v>
      </c>
      <c r="O33" s="16">
        <f>_xll.BDH("XOM US Equity","CFF_ACTIVITIES_DETAILED","FQ3 2001","FQ3 2001","Currency=USD","Period=FQ","BEST_FPERIOD_OVERRIDE=FQ","FILING_STATUS=OR","SCALING_FORMAT=MLN","Sort=A","Dates=H","DateFormat=P","Fill=—","Direction=H","UseDPDF=Y")</f>
        <v>-2896</v>
      </c>
      <c r="P33" s="16">
        <f>_xll.BDH("XOM US Equity","CFF_ACTIVITIES_DETAILED","FQ4 2001","FQ4 2001","Currency=USD","Period=FQ","BEST_FPERIOD_OVERRIDE=FQ","FILING_STATUS=OR","SCALING_FORMAT=MLN","Sort=A","Dates=H","DateFormat=P","Fill=—","Direction=H","UseDPDF=Y")</f>
        <v>-3603</v>
      </c>
      <c r="Q33" s="16">
        <f>_xll.BDH("XOM US Equity","CFF_ACTIVITIES_DETAILED","FQ1 2002","FQ1 2002","Currency=USD","Period=FQ","BEST_FPERIOD_OVERRIDE=FQ","FILING_STATUS=OR","SCALING_FORMAT=MLN","Sort=A","Dates=H","DateFormat=P","Fill=—","Direction=H","UseDPDF=Y")</f>
        <v>-3312</v>
      </c>
      <c r="R33" s="16">
        <f>_xll.BDH("XOM US Equity","CFF_ACTIVITIES_DETAILED","FQ2 2002","FQ2 2002","Currency=USD","Period=FQ","BEST_FPERIOD_OVERRIDE=FQ","FILING_STATUS=OR","SCALING_FORMAT=MLN","Sort=A","Dates=H","DateFormat=P","Fill=—","Direction=H","UseDPDF=Y")</f>
        <v>-1905</v>
      </c>
      <c r="S33" s="16">
        <f>_xll.BDH("XOM US Equity","CFF_ACTIVITIES_DETAILED","FQ3 2002","FQ3 2002","Currency=USD","Period=FQ","BEST_FPERIOD_OVERRIDE=FQ","FILING_STATUS=OR","SCALING_FORMAT=MLN","Sort=A","Dates=H","DateFormat=P","Fill=—","Direction=H","UseDPDF=Y")</f>
        <v>-3057</v>
      </c>
      <c r="T33" s="16">
        <f>_xll.BDH("XOM US Equity","CFF_ACTIVITIES_DETAILED","FQ4 2002","FQ4 2002","Currency=USD","Period=FQ","BEST_FPERIOD_OVERRIDE=FQ","FILING_STATUS=OR","SCALING_FORMAT=MLN","Sort=A","Dates=H","DateFormat=P","Fill=—","Direction=H","UseDPDF=Y")</f>
        <v>-2554</v>
      </c>
      <c r="U33" s="16">
        <f>_xll.BDH("XOM US Equity","CFF_ACTIVITIES_DETAILED","FQ1 2003","FQ1 2003","Currency=USD","Period=FQ","BEST_FPERIOD_OVERRIDE=FQ","FILING_STATUS=OR","SCALING_FORMAT=MLN","Sort=A","Dates=H","DateFormat=P","Fill=—","Direction=H","UseDPDF=Y")</f>
        <v>-2812</v>
      </c>
      <c r="V33" s="16">
        <f>_xll.BDH("XOM US Equity","CFF_ACTIVITIES_DETAILED","FQ2 2003","FQ2 2003","Currency=USD","Period=FQ","BEST_FPERIOD_OVERRIDE=FQ","FILING_STATUS=OR","SCALING_FORMAT=MLN","Sort=A","Dates=H","DateFormat=P","Fill=—","Direction=H","UseDPDF=Y")</f>
        <v>-3520</v>
      </c>
      <c r="W33" s="16">
        <f>_xll.BDH("XOM US Equity","CFF_ACTIVITIES_DETAILED","FQ3 2003","FQ3 2003","Currency=USD","Period=FQ","BEST_FPERIOD_OVERRIDE=FQ","FILING_STATUS=OR","SCALING_FORMAT=MLN","Sort=A","Dates=H","DateFormat=P","Fill=—","Direction=H","UseDPDF=Y")</f>
        <v>-3875</v>
      </c>
      <c r="X33" s="16">
        <f>_xll.BDH("XOM US Equity","CFF_ACTIVITIES_DETAILED","FQ4 2003","FQ4 2003","Currency=USD","Period=FQ","BEST_FPERIOD_OVERRIDE=FQ","FILING_STATUS=OR","SCALING_FORMAT=MLN","Sort=A","Dates=H","DateFormat=P","Fill=—","Direction=H","UseDPDF=Y")</f>
        <v>-4052</v>
      </c>
      <c r="Y33" s="16">
        <f>_xll.BDH("XOM US Equity","CFF_ACTIVITIES_DETAILED","FQ1 2004","FQ1 2004","Currency=USD","Period=FQ","BEST_FPERIOD_OVERRIDE=FQ","FILING_STATUS=OR","SCALING_FORMAT=MLN","Sort=A","Dates=H","DateFormat=P","Fill=—","Direction=H","UseDPDF=Y")</f>
        <v>-3289</v>
      </c>
      <c r="Z33" s="16">
        <f>_xll.BDH("XOM US Equity","CFF_ACTIVITIES_DETAILED","FQ2 2004","FQ2 2004","Currency=USD","Period=FQ","BEST_FPERIOD_OVERRIDE=FQ","FILING_STATUS=OR","SCALING_FORMAT=MLN","Sort=A","Dates=H","DateFormat=P","Fill=—","Direction=H","UseDPDF=Y")</f>
        <v>-3800</v>
      </c>
      <c r="AA33" s="16">
        <f>_xll.BDH("XOM US Equity","CFF_ACTIVITIES_DETAILED","FQ3 2004","FQ3 2004","Currency=USD","Period=FQ","BEST_FPERIOD_OVERRIDE=FQ","FILING_STATUS=OR","SCALING_FORMAT=MLN","Sort=A","Dates=H","DateFormat=P","Fill=—","Direction=H","UseDPDF=Y")</f>
        <v>-4652</v>
      </c>
      <c r="AB33" s="16">
        <f>_xll.BDH("XOM US Equity","CFF_ACTIVITIES_DETAILED","FQ4 2004","FQ4 2004","Currency=USD","Period=FQ","BEST_FPERIOD_OVERRIDE=FQ","FILING_STATUS=OR","SCALING_FORMAT=MLN","Sort=A","Dates=H","DateFormat=P","Fill=—","Direction=H","UseDPDF=Y")</f>
        <v>-5995</v>
      </c>
      <c r="AC33" s="16">
        <f>_xll.BDH("XOM US Equity","CFF_ACTIVITIES_DETAILED","FQ1 2005","FQ1 2005","Currency=USD","Period=FQ","BEST_FPERIOD_OVERRIDE=FQ","FILING_STATUS=OR","SCALING_FORMAT=MLN","Sort=A","Dates=H","DateFormat=P","Fill=—","Direction=H","UseDPDF=Y")</f>
        <v>-5248</v>
      </c>
      <c r="AD33" s="16">
        <f>_xll.BDH("XOM US Equity","CFF_ACTIVITIES_DETAILED","FQ2 2005","FQ2 2005","Currency=USD","Period=FQ","BEST_FPERIOD_OVERRIDE=FQ","FILING_STATUS=OR","SCALING_FORMAT=MLN","Sort=A","Dates=H","DateFormat=P","Fill=—","Direction=H","UseDPDF=Y")</f>
        <v>-6402</v>
      </c>
      <c r="AE33" s="16">
        <f>_xll.BDH("XOM US Equity","CFF_ACTIVITIES_DETAILED","FQ3 2005","FQ3 2005","Currency=USD","Period=FQ","BEST_FPERIOD_OVERRIDE=FQ","FILING_STATUS=OR","SCALING_FORMAT=MLN","Sort=A","Dates=H","DateFormat=P","Fill=—","Direction=H","UseDPDF=Y")</f>
        <v>-8010</v>
      </c>
      <c r="AF33" s="16">
        <f>_xll.BDH("XOM US Equity","CFF_ACTIVITIES_DETAILED","FQ4 2005","FQ4 2005","Currency=USD","Period=FQ","BEST_FPERIOD_OVERRIDE=FQ","FILING_STATUS=OR","SCALING_FORMAT=MLN","Sort=A","Dates=H","DateFormat=P","Fill=—","Direction=H","UseDPDF=Y")</f>
        <v>-8068</v>
      </c>
      <c r="AG33" s="16">
        <f>_xll.BDH("XOM US Equity","CFF_ACTIVITIES_DETAILED","FQ1 2006","FQ1 2006","Currency=USD","Period=FQ","BEST_FPERIOD_OVERRIDE=FQ","FILING_STATUS=OR","SCALING_FORMAT=MLN","Sort=A","Dates=H","DateFormat=P","Fill=—","Direction=H","UseDPDF=Y")</f>
        <v>-7854</v>
      </c>
      <c r="AH33" s="16">
        <f>_xll.BDH("XOM US Equity","CFF_ACTIVITIES_DETAILED","FQ2 2006","FQ2 2006","Currency=USD","Period=FQ","BEST_FPERIOD_OVERRIDE=FQ","FILING_STATUS=OR","SCALING_FORMAT=MLN","Sort=A","Dates=H","DateFormat=P","Fill=—","Direction=H","UseDPDF=Y")</f>
        <v>-7855</v>
      </c>
      <c r="AI33" s="16">
        <f>_xll.BDH("XOM US Equity","CFF_ACTIVITIES_DETAILED","FQ3 2006","FQ3 2006","Currency=USD","Period=FQ","BEST_FPERIOD_OVERRIDE=FQ","FILING_STATUS=OR","SCALING_FORMAT=MLN","Sort=A","Dates=H","DateFormat=P","Fill=—","Direction=H","UseDPDF=Y")</f>
        <v>-9888</v>
      </c>
      <c r="AJ33" s="16">
        <f>_xll.BDH("XOM US Equity","CFF_ACTIVITIES_DETAILED","FQ4 2006","FQ4 2006","Currency=USD","Period=FQ","BEST_FPERIOD_OVERRIDE=FQ","FILING_STATUS=OR","SCALING_FORMAT=MLN","Sort=A","Dates=H","DateFormat=P","Fill=—","Direction=H","UseDPDF=Y")</f>
        <v>-9886</v>
      </c>
      <c r="AK33" s="16">
        <f>_xll.BDH("XOM US Equity","CFF_ACTIVITIES_DETAILED","FQ1 2007","FQ1 2007","Currency=USD","Period=FQ","BEST_FPERIOD_OVERRIDE=FQ","FILING_STATUS=OR","SCALING_FORMAT=MLN","Sort=A","Dates=H","DateFormat=P","Fill=—","Direction=H","UseDPDF=Y")</f>
        <v>-9298</v>
      </c>
      <c r="AL33" s="16">
        <f>_xll.BDH("XOM US Equity","CFF_ACTIVITIES_DETAILED","FQ2 2007","FQ2 2007","Currency=USD","Period=FQ","BEST_FPERIOD_OVERRIDE=FQ","FILING_STATUS=OR","SCALING_FORMAT=MLN","Sort=A","Dates=H","DateFormat=P","Fill=—","Direction=H","UseDPDF=Y")</f>
        <v>-9268</v>
      </c>
      <c r="AM33" s="16">
        <f>_xll.BDH("XOM US Equity","CFF_ACTIVITIES_DETAILED","FQ3 2007","FQ3 2007","Currency=USD","Period=FQ","BEST_FPERIOD_OVERRIDE=FQ","FILING_STATUS=OR","SCALING_FORMAT=MLN","Sort=A","Dates=H","DateFormat=P","Fill=—","Direction=H","UseDPDF=Y")</f>
        <v>-8857</v>
      </c>
      <c r="AN33" s="16">
        <f>_xll.BDH("XOM US Equity","CFF_ACTIVITIES_DETAILED","FQ4 2007","FQ4 2007","Currency=USD","Period=FQ","BEST_FPERIOD_OVERRIDE=FQ","FILING_STATUS=OR","SCALING_FORMAT=MLN","Sort=A","Dates=H","DateFormat=P","Fill=—","Direction=H","UseDPDF=Y")</f>
        <v>-9114</v>
      </c>
      <c r="AO33" s="16">
        <f>_xll.BDH("XOM US Equity","CFF_ACTIVITIES_DETAILED","FQ1 2008","FQ1 2008","Currency=USD","Period=FQ","BEST_FPERIOD_OVERRIDE=FQ","FILING_STATUS=OR","SCALING_FORMAT=MLN","Sort=A","Dates=H","DateFormat=P","Fill=—","Direction=H","UseDPDF=Y")</f>
        <v>-10188</v>
      </c>
      <c r="AP33" s="16">
        <f>_xll.BDH("XOM US Equity","CFF_ACTIVITIES_DETAILED","FQ2 2008","FQ2 2008","Currency=USD","Period=FQ","BEST_FPERIOD_OVERRIDE=FQ","FILING_STATUS=OR","SCALING_FORMAT=MLN","Sort=A","Dates=H","DateFormat=P","Fill=—","Direction=H","UseDPDF=Y")</f>
        <v>-10895</v>
      </c>
    </row>
    <row r="34" spans="1:42" x14ac:dyDescent="0.25">
      <c r="A34" s="6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1:42" x14ac:dyDescent="0.25">
      <c r="A35" s="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A36" s="6" t="s">
        <v>331</v>
      </c>
      <c r="B36" s="6" t="s">
        <v>332</v>
      </c>
      <c r="C36" s="16">
        <f>_xll.BDH("XOM US Equity","CF_NET_CHNG_CASH","FQ3 1998","FQ3 1998","Currency=USD","Period=FQ","BEST_FPERIOD_OVERRIDE=FQ","FILING_STATUS=OR","SCALING_FORMAT=MLN","Sort=A","Dates=H","DateFormat=P","Fill=—","Direction=H","UseDPDF=Y")</f>
        <v>-588</v>
      </c>
      <c r="D36" s="16">
        <f>_xll.BDH("XOM US Equity","CF_NET_CHNG_CASH","FQ4 1998","FQ4 1998","Currency=USD","Period=FQ","BEST_FPERIOD_OVERRIDE=FQ","FILING_STATUS=OR","SCALING_FORMAT=MLN","Sort=A","Dates=H","DateFormat=P","Fill=—","Direction=H","UseDPDF=Y")</f>
        <v>-834</v>
      </c>
      <c r="E36" s="16">
        <f>_xll.BDH("XOM US Equity","CF_NET_CHNG_CASH","FQ1 1999","FQ1 1999","Currency=USD","Period=FQ","BEST_FPERIOD_OVERRIDE=FQ","FILING_STATUS=OR","SCALING_FORMAT=MLN","Sort=A","Dates=H","DateFormat=P","Fill=—","Direction=H","UseDPDF=Y")</f>
        <v>-56</v>
      </c>
      <c r="F36" s="16">
        <f>_xll.BDH("XOM US Equity","CF_NET_CHNG_CASH","FQ2 1999","FQ2 1999","Currency=USD","Period=FQ","BEST_FPERIOD_OVERRIDE=FQ","FILING_STATUS=OR","SCALING_FORMAT=MLN","Sort=A","Dates=H","DateFormat=P","Fill=—","Direction=H","UseDPDF=Y")</f>
        <v>-57</v>
      </c>
      <c r="G36" s="16">
        <f>_xll.BDH("XOM US Equity","CF_NET_CHNG_CASH","FQ3 1999","FQ3 1999","Currency=USD","Period=FQ","BEST_FPERIOD_OVERRIDE=FQ","FILING_STATUS=OR","SCALING_FORMAT=MLN","Sort=A","Dates=H","DateFormat=P","Fill=—","Direction=H","UseDPDF=Y")</f>
        <v>-177</v>
      </c>
      <c r="H36" s="16">
        <f>_xll.BDH("XOM US Equity","CF_NET_CHNG_CASH","FQ4 1999","FQ4 1999","Currency=USD","Period=FQ","BEST_FPERIOD_OVERRIDE=FQ","FILING_STATUS=OR","SCALING_FORMAT=MLN","Sort=A","Dates=H","DateFormat=P","Fill=—","Direction=H","UseDPDF=Y")</f>
        <v>-408</v>
      </c>
      <c r="I36" s="16">
        <f>_xll.BDH("XOM US Equity","CF_NET_CHNG_CASH","FQ1 2000","FQ1 2000","Currency=USD","Period=FQ","BEST_FPERIOD_OVERRIDE=FQ","FILING_STATUS=OR","SCALING_FORMAT=MLN","Sort=A","Dates=H","DateFormat=P","Fill=—","Direction=H","UseDPDF=Y")</f>
        <v>1240</v>
      </c>
      <c r="J36" s="16">
        <f>_xll.BDH("XOM US Equity","CF_NET_CHNG_CASH","FQ2 2000","FQ2 2000","Currency=USD","Period=FQ","BEST_FPERIOD_OVERRIDE=FQ","FILING_STATUS=OR","SCALING_FORMAT=MLN","Sort=A","Dates=H","DateFormat=P","Fill=—","Direction=H","UseDPDF=Y")</f>
        <v>2885</v>
      </c>
      <c r="K36" s="16">
        <f>_xll.BDH("XOM US Equity","CF_NET_CHNG_CASH","FQ3 2000","FQ3 2000","Currency=USD","Period=FQ","BEST_FPERIOD_OVERRIDE=FQ","FILING_STATUS=OR","SCALING_FORMAT=MLN","Sort=A","Dates=H","DateFormat=P","Fill=—","Direction=H","UseDPDF=Y")</f>
        <v>831</v>
      </c>
      <c r="L36" s="16">
        <f>_xll.BDH("XOM US Equity","CF_NET_CHNG_CASH","FQ4 2000","FQ4 2000","Currency=USD","Period=FQ","BEST_FPERIOD_OVERRIDE=FQ","FILING_STATUS=OR","SCALING_FORMAT=MLN","Sort=A","Dates=H","DateFormat=P","Fill=—","Direction=H","UseDPDF=Y")</f>
        <v>436</v>
      </c>
      <c r="M36" s="16">
        <f>_xll.BDH("XOM US Equity","CF_NET_CHNG_CASH","FQ1 2001","FQ1 2001","Currency=USD","Period=FQ","BEST_FPERIOD_OVERRIDE=FQ","FILING_STATUS=OR","SCALING_FORMAT=MLN","Sort=A","Dates=H","DateFormat=P","Fill=—","Direction=H","UseDPDF=Y")</f>
        <v>3826</v>
      </c>
      <c r="N36" s="16">
        <f>_xll.BDH("XOM US Equity","CF_NET_CHNG_CASH","FQ2 2001","FQ2 2001","Currency=USD","Period=FQ","BEST_FPERIOD_OVERRIDE=FQ","FILING_STATUS=OR","SCALING_FORMAT=MLN","Sort=A","Dates=H","DateFormat=P","Fill=—","Direction=H","UseDPDF=Y")</f>
        <v>-1608</v>
      </c>
      <c r="O36" s="16">
        <f>_xll.BDH("XOM US Equity","CF_NET_CHNG_CASH","FQ3 2001","FQ3 2001","Currency=USD","Period=FQ","BEST_FPERIOD_OVERRIDE=FQ","FILING_STATUS=OR","SCALING_FORMAT=MLN","Sort=A","Dates=H","DateFormat=P","Fill=—","Direction=H","UseDPDF=Y")</f>
        <v>-272</v>
      </c>
      <c r="P36" s="16">
        <f>_xll.BDH("XOM US Equity","CF_NET_CHNG_CASH","FQ4 2001","FQ4 2001","Currency=USD","Period=FQ","BEST_FPERIOD_OVERRIDE=FQ","FILING_STATUS=OR","SCALING_FORMAT=MLN","Sort=A","Dates=H","DateFormat=P","Fill=—","Direction=H","UseDPDF=Y")</f>
        <v>-2479</v>
      </c>
      <c r="Q36" s="16">
        <f>_xll.BDH("XOM US Equity","CF_NET_CHNG_CASH","FQ1 2002","FQ1 2002","Currency=USD","Period=FQ","BEST_FPERIOD_OVERRIDE=FQ","FILING_STATUS=OR","SCALING_FORMAT=MLN","Sort=A","Dates=H","DateFormat=P","Fill=—","Direction=H","UseDPDF=Y")</f>
        <v>75</v>
      </c>
      <c r="R36" s="16">
        <f>_xll.BDH("XOM US Equity","CF_NET_CHNG_CASH","FQ2 2002","FQ2 2002","Currency=USD","Period=FQ","BEST_FPERIOD_OVERRIDE=FQ","FILING_STATUS=OR","SCALING_FORMAT=MLN","Sort=A","Dates=H","DateFormat=P","Fill=—","Direction=H","UseDPDF=Y")</f>
        <v>-922</v>
      </c>
      <c r="S36" s="16">
        <f>_xll.BDH("XOM US Equity","CF_NET_CHNG_CASH","FQ3 2002","FQ3 2002","Currency=USD","Period=FQ","BEST_FPERIOD_OVERRIDE=FQ","FILING_STATUS=OR","SCALING_FORMAT=MLN","Sort=A","Dates=H","DateFormat=P","Fill=—","Direction=H","UseDPDF=Y")</f>
        <v>1237</v>
      </c>
      <c r="T36" s="16">
        <f>_xll.BDH("XOM US Equity","CF_NET_CHNG_CASH","FQ4 2002","FQ4 2002","Currency=USD","Period=FQ","BEST_FPERIOD_OVERRIDE=FQ","FILING_STATUS=OR","SCALING_FORMAT=MLN","Sort=A","Dates=H","DateFormat=P","Fill=—","Direction=H","UseDPDF=Y")</f>
        <v>292</v>
      </c>
      <c r="U36" s="16">
        <f>_xll.BDH("XOM US Equity","CF_NET_CHNG_CASH","FQ1 2003","FQ1 2003","Currency=USD","Period=FQ","BEST_FPERIOD_OVERRIDE=FQ","FILING_STATUS=OR","SCALING_FORMAT=MLN","Sort=A","Dates=H","DateFormat=P","Fill=—","Direction=H","UseDPDF=Y")</f>
        <v>5099</v>
      </c>
      <c r="V36" s="16">
        <f>_xll.BDH("XOM US Equity","CF_NET_CHNG_CASH","FQ2 2003","FQ2 2003","Currency=USD","Period=FQ","BEST_FPERIOD_OVERRIDE=FQ","FILING_STATUS=OR","SCALING_FORMAT=MLN","Sort=A","Dates=H","DateFormat=P","Fill=—","Direction=H","UseDPDF=Y")</f>
        <v>193</v>
      </c>
      <c r="W36" s="16">
        <f>_xll.BDH("XOM US Equity","CF_NET_CHNG_CASH","FQ3 2003","FQ3 2003","Currency=USD","Period=FQ","BEST_FPERIOD_OVERRIDE=FQ","FILING_STATUS=OR","SCALING_FORMAT=MLN","Sort=A","Dates=H","DateFormat=P","Fill=—","Direction=H","UseDPDF=Y")</f>
        <v>-1506</v>
      </c>
      <c r="X36" s="16">
        <f>_xll.BDH("XOM US Equity","CF_NET_CHNG_CASH","FQ4 2003","FQ4 2003","Currency=USD","Period=FQ","BEST_FPERIOD_OVERRIDE=FQ","FILING_STATUS=OR","SCALING_FORMAT=MLN","Sort=A","Dates=H","DateFormat=P","Fill=—","Direction=H","UseDPDF=Y")</f>
        <v>-389</v>
      </c>
      <c r="Y36" s="16">
        <f>_xll.BDH("XOM US Equity","CF_NET_CHNG_CASH","FQ1 2004","FQ1 2004","Currency=USD","Period=FQ","BEST_FPERIOD_OVERRIDE=FQ","FILING_STATUS=OR","SCALING_FORMAT=MLN","Sort=A","Dates=H","DateFormat=P","Fill=—","Direction=H","UseDPDF=Y")</f>
        <v>5268</v>
      </c>
      <c r="Z36" s="16">
        <f>_xll.BDH("XOM US Equity","CF_NET_CHNG_CASH","FQ2 2004","FQ2 2004","Currency=USD","Period=FQ","BEST_FPERIOD_OVERRIDE=FQ","FILING_STATUS=OR","SCALING_FORMAT=MLN","Sort=A","Dates=H","DateFormat=P","Fill=—","Direction=H","UseDPDF=Y")</f>
        <v>-1717</v>
      </c>
      <c r="AA36" s="16">
        <f>_xll.BDH("XOM US Equity","CF_NET_CHNG_CASH","FQ3 2004","FQ3 2004","Currency=USD","Period=FQ","BEST_FPERIOD_OVERRIDE=FQ","FILING_STATUS=OR","SCALING_FORMAT=MLN","Sort=A","Dates=H","DateFormat=P","Fill=—","Direction=H","UseDPDF=Y")</f>
        <v>1931</v>
      </c>
      <c r="AB36" s="16">
        <f>_xll.BDH("XOM US Equity","CF_NET_CHNG_CASH","FQ4 2004","FQ4 2004","Currency=USD","Period=FQ","BEST_FPERIOD_OVERRIDE=FQ","FILING_STATUS=OR","SCALING_FORMAT=MLN","Sort=A","Dates=H","DateFormat=P","Fill=—","Direction=H","UseDPDF=Y")</f>
        <v>2423</v>
      </c>
      <c r="AC36" s="16">
        <f>_xll.BDH("XOM US Equity","CF_NET_CHNG_CASH","FQ1 2005","FQ1 2005","Currency=USD","Period=FQ","BEST_FPERIOD_OVERRIDE=FQ","FILING_STATUS=OR","SCALING_FORMAT=MLN","Sort=A","Dates=H","DateFormat=P","Fill=—","Direction=H","UseDPDF=Y")</f>
        <v>6634</v>
      </c>
      <c r="AD36" s="16">
        <f>_xll.BDH("XOM US Equity","CF_NET_CHNG_CASH","FQ2 2005","FQ2 2005","Currency=USD","Period=FQ","BEST_FPERIOD_OVERRIDE=FQ","FILING_STATUS=OR","SCALING_FORMAT=MLN","Sort=A","Dates=H","DateFormat=P","Fill=—","Direction=H","UseDPDF=Y")</f>
        <v>483</v>
      </c>
      <c r="AE36" s="16">
        <f>_xll.BDH("XOM US Equity","CF_NET_CHNG_CASH","FQ3 2005","FQ3 2005","Currency=USD","Period=FQ","BEST_FPERIOD_OVERRIDE=FQ","FILING_STATUS=OR","SCALING_FORMAT=MLN","Sort=A","Dates=H","DateFormat=P","Fill=—","Direction=H","UseDPDF=Y")</f>
        <v>3592</v>
      </c>
      <c r="AF36" s="16">
        <f>_xll.BDH("XOM US Equity","CF_NET_CHNG_CASH","FQ4 2005","FQ4 2005","Currency=USD","Period=FQ","BEST_FPERIOD_OVERRIDE=FQ","FILING_STATUS=OR","SCALING_FORMAT=MLN","Sort=A","Dates=H","DateFormat=P","Fill=—","Direction=H","UseDPDF=Y")</f>
        <v>-569</v>
      </c>
      <c r="AG36" s="16">
        <f>_xll.BDH("XOM US Equity","CF_NET_CHNG_CASH","FQ1 2006","FQ1 2006","Currency=USD","Period=FQ","BEST_FPERIOD_OVERRIDE=FQ","FILING_STATUS=OR","SCALING_FORMAT=MLN","Sort=A","Dates=H","DateFormat=P","Fill=—","Direction=H","UseDPDF=Y")</f>
        <v>3274</v>
      </c>
      <c r="AH36" s="16">
        <f>_xll.BDH("XOM US Equity","CF_NET_CHNG_CASH","FQ2 2006","FQ2 2006","Currency=USD","Period=FQ","BEST_FPERIOD_OVERRIDE=FQ","FILING_STATUS=OR","SCALING_FORMAT=MLN","Sort=A","Dates=H","DateFormat=P","Fill=—","Direction=H","UseDPDF=Y")</f>
        <v>168</v>
      </c>
      <c r="AI36" s="16">
        <f>_xll.BDH("XOM US Equity","CF_NET_CHNG_CASH","FQ3 2006","FQ3 2006","Currency=USD","Period=FQ","BEST_FPERIOD_OVERRIDE=FQ","FILING_STATUS=OR","SCALING_FORMAT=MLN","Sort=A","Dates=H","DateFormat=P","Fill=—","Direction=H","UseDPDF=Y")</f>
        <v>621</v>
      </c>
      <c r="AJ36" s="16">
        <f>_xll.BDH("XOM US Equity","CF_NET_CHNG_CASH","FQ4 2006","FQ4 2006","Currency=USD","Period=FQ","BEST_FPERIOD_OVERRIDE=FQ","FILING_STATUS=OR","SCALING_FORMAT=MLN","Sort=A","Dates=H","DateFormat=P","Fill=—","Direction=H","UseDPDF=Y")</f>
        <v>-4490</v>
      </c>
      <c r="AK36" s="16">
        <f>_xll.BDH("XOM US Equity","CF_NET_CHNG_CASH","FQ1 2007","FQ1 2007","Currency=USD","Period=FQ","BEST_FPERIOD_OVERRIDE=FQ","FILING_STATUS=OR","SCALING_FORMAT=MLN","Sort=A","Dates=H","DateFormat=P","Fill=—","Direction=H","UseDPDF=Y")</f>
        <v>1750</v>
      </c>
      <c r="AL36" s="16">
        <f>_xll.BDH("XOM US Equity","CF_NET_CHNG_CASH","FQ2 2007","FQ2 2007","Currency=USD","Period=FQ","BEST_FPERIOD_OVERRIDE=FQ","FILING_STATUS=OR","SCALING_FORMAT=MLN","Sort=A","Dates=H","DateFormat=P","Fill=—","Direction=H","UseDPDF=Y")</f>
        <v>-1035</v>
      </c>
      <c r="AM36" s="16">
        <f>_xll.BDH("XOM US Equity","CF_NET_CHNG_CASH","FQ3 2007","FQ3 2007","Currency=USD","Period=FQ","BEST_FPERIOD_OVERRIDE=FQ","FILING_STATUS=OR","SCALING_FORMAT=MLN","Sort=A","Dates=H","DateFormat=P","Fill=—","Direction=H","UseDPDF=Y")</f>
        <v>2464</v>
      </c>
      <c r="AN36" s="16">
        <f>_xll.BDH("XOM US Equity","CF_NET_CHNG_CASH","FQ4 2007","FQ4 2007","Currency=USD","Period=FQ","BEST_FPERIOD_OVERRIDE=FQ","FILING_STATUS=OR","SCALING_FORMAT=MLN","Sort=A","Dates=H","DateFormat=P","Fill=—","Direction=H","UseDPDF=Y")</f>
        <v>2558</v>
      </c>
      <c r="AO36" s="16">
        <f>_xll.BDH("XOM US Equity","CF_NET_CHNG_CASH","FQ1 2008","FQ1 2008","Currency=USD","Period=FQ","BEST_FPERIOD_OVERRIDE=FQ","FILING_STATUS=OR","SCALING_FORMAT=MLN","Sort=A","Dates=H","DateFormat=P","Fill=—","Direction=H","UseDPDF=Y")</f>
        <v>6932</v>
      </c>
      <c r="AP36" s="16">
        <f>_xll.BDH("XOM US Equity","CF_NET_CHNG_CASH","FQ2 2008","FQ2 2008","Currency=USD","Period=FQ","BEST_FPERIOD_OVERRIDE=FQ","FILING_STATUS=OR","SCALING_FORMAT=MLN","Sort=A","Dates=H","DateFormat=P","Fill=—","Direction=H","UseDPDF=Y")</f>
        <v>-1945</v>
      </c>
    </row>
    <row r="37" spans="1:42" x14ac:dyDescent="0.25">
      <c r="A37" s="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s="6" t="s">
        <v>333</v>
      </c>
      <c r="B38" s="6" t="s">
        <v>334</v>
      </c>
      <c r="C38" s="16" t="str">
        <f>_xll.BDH("XOM US Equity","CF_CASH_PAID_FOR_TAX","FQ3 1998","FQ3 1998","Currency=USD","Period=FQ","BEST_FPERIOD_OVERRIDE=FQ","FILING_STATUS=OR","SCALING_FORMAT=MLN","Sort=A","Dates=H","DateFormat=P","Fill=—","Direction=H","UseDPDF=Y")</f>
        <v>—</v>
      </c>
      <c r="D38" s="16">
        <f>_xll.BDH("XOM US Equity","CF_CASH_PAID_FOR_TAX","FQ4 1998","FQ4 1998","Currency=USD","Period=FQ","BEST_FPERIOD_OVERRIDE=FQ","FILING_STATUS=OR","SCALING_FORMAT=MLN","Sort=A","Dates=H","DateFormat=P","Fill=—","Direction=H","UseDPDF=Y")</f>
        <v>2902</v>
      </c>
      <c r="E38" s="16">
        <f>_xll.BDH("XOM US Equity","CF_CASH_PAID_FOR_TAX","FQ1 1999","FQ1 1999","Currency=USD","Period=FQ","BEST_FPERIOD_OVERRIDE=FQ","FILING_STATUS=OR","SCALING_FORMAT=MLN","Sort=A","Dates=H","DateFormat=P","Fill=—","Direction=H","UseDPDF=Y")</f>
        <v>347</v>
      </c>
      <c r="F38" s="16">
        <f>_xll.BDH("XOM US Equity","CF_CASH_PAID_FOR_TAX","FQ2 1999","FQ2 1999","Currency=USD","Period=FQ","BEST_FPERIOD_OVERRIDE=FQ","FILING_STATUS=OR","SCALING_FORMAT=MLN","Sort=A","Dates=H","DateFormat=P","Fill=—","Direction=H","UseDPDF=Y")</f>
        <v>419</v>
      </c>
      <c r="G38" s="16">
        <f>_xll.BDH("XOM US Equity","CF_CASH_PAID_FOR_TAX","FQ3 1999","FQ3 1999","Currency=USD","Period=FQ","BEST_FPERIOD_OVERRIDE=FQ","FILING_STATUS=OR","SCALING_FORMAT=MLN","Sort=A","Dates=H","DateFormat=P","Fill=—","Direction=H","UseDPDF=Y")</f>
        <v>403</v>
      </c>
      <c r="H38" s="16">
        <f>_xll.BDH("XOM US Equity","CF_CASH_PAID_FOR_TAX","FQ4 1999","FQ4 1999","Currency=USD","Period=FQ","BEST_FPERIOD_OVERRIDE=FQ","FILING_STATUS=OR","SCALING_FORMAT=MLN","Sort=A","Dates=H","DateFormat=P","Fill=—","Direction=H","UseDPDF=Y")</f>
        <v>2636</v>
      </c>
      <c r="I38" s="16">
        <f>_xll.BDH("XOM US Equity","CF_CASH_PAID_FOR_TAX","FQ1 2000","FQ1 2000","Currency=USD","Period=FQ","BEST_FPERIOD_OVERRIDE=FQ","FILING_STATUS=OR","SCALING_FORMAT=MLN","Sort=A","Dates=H","DateFormat=P","Fill=—","Direction=H","UseDPDF=Y")</f>
        <v>974</v>
      </c>
      <c r="J38" s="16">
        <f>_xll.BDH("XOM US Equity","CF_CASH_PAID_FOR_TAX","FQ2 2000","FQ2 2000","Currency=USD","Period=FQ","BEST_FPERIOD_OVERRIDE=FQ","FILING_STATUS=OR","SCALING_FORMAT=MLN","Sort=A","Dates=H","DateFormat=P","Fill=—","Direction=H","UseDPDF=Y")</f>
        <v>1608</v>
      </c>
      <c r="K38" s="16">
        <f>_xll.BDH("XOM US Equity","CF_CASH_PAID_FOR_TAX","FQ3 2000","FQ3 2000","Currency=USD","Period=FQ","BEST_FPERIOD_OVERRIDE=FQ","FILING_STATUS=OR","SCALING_FORMAT=MLN","Sort=A","Dates=H","DateFormat=P","Fill=—","Direction=H","UseDPDF=Y")</f>
        <v>1629</v>
      </c>
      <c r="L38" s="16">
        <f>_xll.BDH("XOM US Equity","CF_CASH_PAID_FOR_TAX","FQ4 2000","FQ4 2000","Currency=USD","Period=FQ","BEST_FPERIOD_OVERRIDE=FQ","FILING_STATUS=OR","SCALING_FORMAT=MLN","Sort=A","Dates=H","DateFormat=P","Fill=—","Direction=H","UseDPDF=Y")</f>
        <v>4460</v>
      </c>
      <c r="M38" s="16">
        <f>_xll.BDH("XOM US Equity","CF_CASH_PAID_FOR_TAX","FQ1 2001","FQ1 2001","Currency=USD","Period=FQ","BEST_FPERIOD_OVERRIDE=FQ","FILING_STATUS=OR","SCALING_FORMAT=MLN","Sort=A","Dates=H","DateFormat=P","Fill=—","Direction=H","UseDPDF=Y")</f>
        <v>1491</v>
      </c>
      <c r="N38" s="16">
        <f>_xll.BDH("XOM US Equity","CF_CASH_PAID_FOR_TAX","FQ2 2001","FQ2 2001","Currency=USD","Period=FQ","BEST_FPERIOD_OVERRIDE=FQ","FILING_STATUS=OR","SCALING_FORMAT=MLN","Sort=A","Dates=H","DateFormat=P","Fill=—","Direction=H","UseDPDF=Y")</f>
        <v>2691</v>
      </c>
      <c r="O38" s="16">
        <f>_xll.BDH("XOM US Equity","CF_CASH_PAID_FOR_TAX","FQ3 2001","FQ3 2001","Currency=USD","Period=FQ","BEST_FPERIOD_OVERRIDE=FQ","FILING_STATUS=OR","SCALING_FORMAT=MLN","Sort=A","Dates=H","DateFormat=P","Fill=—","Direction=H","UseDPDF=Y")</f>
        <v>2357</v>
      </c>
      <c r="P38" s="16">
        <f>_xll.BDH("XOM US Equity","CF_CASH_PAID_FOR_TAX","FQ4 2001","FQ4 2001","Currency=USD","Period=FQ","BEST_FPERIOD_OVERRIDE=FQ","FILING_STATUS=OR","SCALING_FORMAT=MLN","Sort=A","Dates=H","DateFormat=P","Fill=—","Direction=H","UseDPDF=Y")</f>
        <v>3316</v>
      </c>
      <c r="Q38" s="16">
        <f>_xll.BDH("XOM US Equity","CF_CASH_PAID_FOR_TAX","FQ1 2002","FQ1 2002","Currency=USD","Period=FQ","BEST_FPERIOD_OVERRIDE=FQ","FILING_STATUS=OR","SCALING_FORMAT=MLN","Sort=A","Dates=H","DateFormat=P","Fill=—","Direction=H","UseDPDF=Y")</f>
        <v>1644</v>
      </c>
      <c r="R38" s="16">
        <f>_xll.BDH("XOM US Equity","CF_CASH_PAID_FOR_TAX","FQ2 2002","FQ2 2002","Currency=USD","Period=FQ","BEST_FPERIOD_OVERRIDE=FQ","FILING_STATUS=OR","SCALING_FORMAT=MLN","Sort=A","Dates=H","DateFormat=P","Fill=—","Direction=H","UseDPDF=Y")</f>
        <v>1479</v>
      </c>
      <c r="S38" s="16">
        <f>_xll.BDH("XOM US Equity","CF_CASH_PAID_FOR_TAX","FQ3 2002","FQ3 2002","Currency=USD","Period=FQ","BEST_FPERIOD_OVERRIDE=FQ","FILING_STATUS=OR","SCALING_FORMAT=MLN","Sort=A","Dates=H","DateFormat=P","Fill=—","Direction=H","UseDPDF=Y")</f>
        <v>1237</v>
      </c>
      <c r="T38" s="16">
        <f>_xll.BDH("XOM US Equity","CF_CASH_PAID_FOR_TAX","FQ4 2002","FQ4 2002","Currency=USD","Period=FQ","BEST_FPERIOD_OVERRIDE=FQ","FILING_STATUS=OR","SCALING_FORMAT=MLN","Sort=A","Dates=H","DateFormat=P","Fill=—","Direction=H","UseDPDF=Y")</f>
        <v>1746</v>
      </c>
      <c r="U38" s="16">
        <f>_xll.BDH("XOM US Equity","CF_CASH_PAID_FOR_TAX","FQ1 2003","FQ1 2003","Currency=USD","Period=FQ","BEST_FPERIOD_OVERRIDE=FQ","FILING_STATUS=OR","SCALING_FORMAT=MLN","Sort=A","Dates=H","DateFormat=P","Fill=—","Direction=H","UseDPDF=Y")</f>
        <v>1168</v>
      </c>
      <c r="V38" s="16">
        <f>_xll.BDH("XOM US Equity","CF_CASH_PAID_FOR_TAX","FQ2 2003","FQ2 2003","Currency=USD","Period=FQ","BEST_FPERIOD_OVERRIDE=FQ","FILING_STATUS=OR","SCALING_FORMAT=MLN","Sort=A","Dates=H","DateFormat=P","Fill=—","Direction=H","UseDPDF=Y")</f>
        <v>2802</v>
      </c>
      <c r="W38" s="16">
        <f>_xll.BDH("XOM US Equity","CF_CASH_PAID_FOR_TAX","FQ3 2003","FQ3 2003","Currency=USD","Period=FQ","BEST_FPERIOD_OVERRIDE=FQ","FILING_STATUS=OR","SCALING_FORMAT=MLN","Sort=A","Dates=H","DateFormat=P","Fill=—","Direction=H","UseDPDF=Y")</f>
        <v>1268</v>
      </c>
      <c r="X38" s="16">
        <f>_xll.BDH("XOM US Equity","CF_CASH_PAID_FOR_TAX","FQ4 2003","FQ4 2003","Currency=USD","Period=FQ","BEST_FPERIOD_OVERRIDE=FQ","FILING_STATUS=OR","SCALING_FORMAT=MLN","Sort=A","Dates=H","DateFormat=P","Fill=—","Direction=H","UseDPDF=Y")</f>
        <v>2911</v>
      </c>
      <c r="Y38" s="16">
        <f>_xll.BDH("XOM US Equity","CF_CASH_PAID_FOR_TAX","FQ1 2004","FQ1 2004","Currency=USD","Period=FQ","BEST_FPERIOD_OVERRIDE=FQ","FILING_STATUS=OR","SCALING_FORMAT=MLN","Sort=A","Dates=H","DateFormat=P","Fill=—","Direction=H","UseDPDF=Y")</f>
        <v>1502</v>
      </c>
      <c r="Z38" s="16">
        <f>_xll.BDH("XOM US Equity","CF_CASH_PAID_FOR_TAX","FQ2 2004","FQ2 2004","Currency=USD","Period=FQ","BEST_FPERIOD_OVERRIDE=FQ","FILING_STATUS=OR","SCALING_FORMAT=MLN","Sort=A","Dates=H","DateFormat=P","Fill=—","Direction=H","UseDPDF=Y")</f>
        <v>3529</v>
      </c>
      <c r="AA38" s="16">
        <f>_xll.BDH("XOM US Equity","CF_CASH_PAID_FOR_TAX","FQ3 2004","FQ3 2004","Currency=USD","Period=FQ","BEST_FPERIOD_OVERRIDE=FQ","FILING_STATUS=OR","SCALING_FORMAT=MLN","Sort=A","Dates=H","DateFormat=P","Fill=—","Direction=H","UseDPDF=Y")</f>
        <v>3461</v>
      </c>
      <c r="AB38" s="16">
        <f>_xll.BDH("XOM US Equity","CF_CASH_PAID_FOR_TAX","FQ4 2004","FQ4 2004","Currency=USD","Period=FQ","BEST_FPERIOD_OVERRIDE=FQ","FILING_STATUS=OR","SCALING_FORMAT=MLN","Sort=A","Dates=H","DateFormat=P","Fill=—","Direction=H","UseDPDF=Y")</f>
        <v>5018</v>
      </c>
      <c r="AC38" s="16">
        <f>_xll.BDH("XOM US Equity","CF_CASH_PAID_FOR_TAX","FQ1 2005","FQ1 2005","Currency=USD","Period=FQ","BEST_FPERIOD_OVERRIDE=FQ","FILING_STATUS=OR","SCALING_FORMAT=MLN","Sort=A","Dates=H","DateFormat=P","Fill=—","Direction=H","UseDPDF=Y")</f>
        <v>3820</v>
      </c>
      <c r="AD38" s="16">
        <f>_xll.BDH("XOM US Equity","CF_CASH_PAID_FOR_TAX","FQ2 2005","FQ2 2005","Currency=USD","Period=FQ","BEST_FPERIOD_OVERRIDE=FQ","FILING_STATUS=OR","SCALING_FORMAT=MLN","Sort=A","Dates=H","DateFormat=P","Fill=—","Direction=H","UseDPDF=Y")</f>
        <v>7047</v>
      </c>
      <c r="AE38" s="16">
        <f>_xll.BDH("XOM US Equity","CF_CASH_PAID_FOR_TAX","FQ3 2005","FQ3 2005","Currency=USD","Period=FQ","BEST_FPERIOD_OVERRIDE=FQ","FILING_STATUS=OR","SCALING_FORMAT=MLN","Sort=A","Dates=H","DateFormat=P","Fill=—","Direction=H","UseDPDF=Y")</f>
        <v>4237</v>
      </c>
      <c r="AF38" s="16">
        <f>_xll.BDH("XOM US Equity","CF_CASH_PAID_FOR_TAX","FQ4 2005","FQ4 2005","Currency=USD","Period=FQ","BEST_FPERIOD_OVERRIDE=FQ","FILING_STATUS=OR","SCALING_FORMAT=MLN","Sort=A","Dates=H","DateFormat=P","Fill=—","Direction=H","UseDPDF=Y")</f>
        <v>7431</v>
      </c>
      <c r="AG38" s="16">
        <f>_xll.BDH("XOM US Equity","CF_CASH_PAID_FOR_TAX","FQ1 2006","FQ1 2006","Currency=USD","Period=FQ","BEST_FPERIOD_OVERRIDE=FQ","FILING_STATUS=OR","SCALING_FORMAT=MLN","Sort=A","Dates=H","DateFormat=P","Fill=—","Direction=H","UseDPDF=Y")</f>
        <v>4088</v>
      </c>
      <c r="AH38" s="16">
        <f>_xll.BDH("XOM US Equity","CF_CASH_PAID_FOR_TAX","FQ2 2006","FQ2 2006","Currency=USD","Period=FQ","BEST_FPERIOD_OVERRIDE=FQ","FILING_STATUS=OR","SCALING_FORMAT=MLN","Sort=A","Dates=H","DateFormat=P","Fill=—","Direction=H","UseDPDF=Y")</f>
        <v>8133</v>
      </c>
      <c r="AI38" s="16">
        <f>_xll.BDH("XOM US Equity","CF_CASH_PAID_FOR_TAX","FQ3 2006","FQ3 2006","Currency=USD","Period=FQ","BEST_FPERIOD_OVERRIDE=FQ","FILING_STATUS=OR","SCALING_FORMAT=MLN","Sort=A","Dates=H","DateFormat=P","Fill=—","Direction=H","UseDPDF=Y")</f>
        <v>6416</v>
      </c>
      <c r="AJ38" s="16">
        <f>_xll.BDH("XOM US Equity","CF_CASH_PAID_FOR_TAX","FQ4 2006","FQ4 2006","Currency=USD","Period=FQ","BEST_FPERIOD_OVERRIDE=FQ","FILING_STATUS=OR","SCALING_FORMAT=MLN","Sort=A","Dates=H","DateFormat=P","Fill=—","Direction=H","UseDPDF=Y")</f>
        <v>7528</v>
      </c>
      <c r="AK38" s="16">
        <f>_xll.BDH("XOM US Equity","CF_CASH_PAID_FOR_TAX","FQ1 2007","FQ1 2007","Currency=USD","Period=FQ","BEST_FPERIOD_OVERRIDE=FQ","FILING_STATUS=OR","SCALING_FORMAT=MLN","Sort=A","Dates=H","DateFormat=P","Fill=—","Direction=H","UseDPDF=Y")</f>
        <v>3998</v>
      </c>
      <c r="AL38" s="16">
        <f>_xll.BDH("XOM US Equity","CF_CASH_PAID_FOR_TAX","FQ2 2007","FQ2 2007","Currency=USD","Period=FQ","BEST_FPERIOD_OVERRIDE=FQ","FILING_STATUS=OR","SCALING_FORMAT=MLN","Sort=A","Dates=H","DateFormat=P","Fill=—","Direction=H","UseDPDF=Y")</f>
        <v>8384</v>
      </c>
      <c r="AM38" s="16">
        <f>_xll.BDH("XOM US Equity","CF_CASH_PAID_FOR_TAX","FQ3 2007","FQ3 2007","Currency=USD","Period=FQ","BEST_FPERIOD_OVERRIDE=FQ","FILING_STATUS=OR","SCALING_FORMAT=MLN","Sort=A","Dates=H","DateFormat=P","Fill=—","Direction=H","UseDPDF=Y")</f>
        <v>5565</v>
      </c>
      <c r="AN38" s="16">
        <f>_xll.BDH("XOM US Equity","CF_CASH_PAID_FOR_TAX","FQ4 2007","FQ4 2007","Currency=USD","Period=FQ","BEST_FPERIOD_OVERRIDE=FQ","FILING_STATUS=OR","SCALING_FORMAT=MLN","Sort=A","Dates=H","DateFormat=P","Fill=—","Direction=H","UseDPDF=Y")</f>
        <v>8395</v>
      </c>
      <c r="AO38" s="16">
        <f>_xll.BDH("XOM US Equity","CF_CASH_PAID_FOR_TAX","FQ1 2008","FQ1 2008","Currency=USD","Period=FQ","BEST_FPERIOD_OVERRIDE=FQ","FILING_STATUS=OR","SCALING_FORMAT=MLN","Sort=A","Dates=H","DateFormat=P","Fill=—","Direction=H","UseDPDF=Y")</f>
        <v>4849</v>
      </c>
      <c r="AP38" s="16">
        <f>_xll.BDH("XOM US Equity","CF_CASH_PAID_FOR_TAX","FQ2 2008","FQ2 2008","Currency=USD","Period=FQ","BEST_FPERIOD_OVERRIDE=FQ","FILING_STATUS=OR","SCALING_FORMAT=MLN","Sort=A","Dates=H","DateFormat=P","Fill=—","Direction=H","UseDPDF=Y")</f>
        <v>11078</v>
      </c>
    </row>
    <row r="39" spans="1:42" x14ac:dyDescent="0.25">
      <c r="A39" s="6" t="s">
        <v>335</v>
      </c>
      <c r="B39" s="6" t="s">
        <v>336</v>
      </c>
      <c r="C39" s="16" t="str">
        <f>_xll.BDH("XOM US Equity","CF_ACT_CASH_PAID_FOR_INT_DEBT","FQ3 1998","FQ3 1998","Currency=USD","Period=FQ","BEST_FPERIOD_OVERRIDE=FQ","FILING_STATUS=OR","SCALING_FORMAT=MLN","Sort=A","Dates=H","DateFormat=P","Fill=—","Direction=H","UseDPDF=Y")</f>
        <v>—</v>
      </c>
      <c r="D39" s="16">
        <f>_xll.BDH("XOM US Equity","CF_ACT_CASH_PAID_FOR_INT_DEBT","FQ4 1998","FQ4 1998","Currency=USD","Period=FQ","BEST_FPERIOD_OVERRIDE=FQ","FILING_STATUS=OR","SCALING_FORMAT=MLN","Sort=A","Dates=H","DateFormat=P","Fill=—","Direction=H","UseDPDF=Y")</f>
        <v>603</v>
      </c>
      <c r="E39" s="16">
        <f>_xll.BDH("XOM US Equity","CF_ACT_CASH_PAID_FOR_INT_DEBT","FQ1 1999","FQ1 1999","Currency=USD","Period=FQ","BEST_FPERIOD_OVERRIDE=FQ","FILING_STATUS=OR","SCALING_FORMAT=MLN","Sort=A","Dates=H","DateFormat=P","Fill=—","Direction=H","UseDPDF=Y")</f>
        <v>60</v>
      </c>
      <c r="F39" s="16">
        <f>_xll.BDH("XOM US Equity","CF_ACT_CASH_PAID_FOR_INT_DEBT","FQ2 1999","FQ2 1999","Currency=USD","Period=FQ","BEST_FPERIOD_OVERRIDE=FQ","FILING_STATUS=OR","SCALING_FORMAT=MLN","Sort=A","Dates=H","DateFormat=P","Fill=—","Direction=H","UseDPDF=Y")</f>
        <v>89</v>
      </c>
      <c r="G39" s="16">
        <f>_xll.BDH("XOM US Equity","CF_ACT_CASH_PAID_FOR_INT_DEBT","FQ3 1999","FQ3 1999","Currency=USD","Period=FQ","BEST_FPERIOD_OVERRIDE=FQ","FILING_STATUS=OR","SCALING_FORMAT=MLN","Sort=A","Dates=H","DateFormat=P","Fill=—","Direction=H","UseDPDF=Y")</f>
        <v>98</v>
      </c>
      <c r="H39" s="16">
        <f>_xll.BDH("XOM US Equity","CF_ACT_CASH_PAID_FOR_INT_DEBT","FQ4 1999","FQ4 1999","Currency=USD","Period=FQ","BEST_FPERIOD_OVERRIDE=FQ","FILING_STATUS=OR","SCALING_FORMAT=MLN","Sort=A","Dates=H","DateFormat=P","Fill=—","Direction=H","UseDPDF=Y")</f>
        <v>635</v>
      </c>
      <c r="I39" s="16">
        <f>_xll.BDH("XOM US Equity","CF_ACT_CASH_PAID_FOR_INT_DEBT","FQ1 2000","FQ1 2000","Currency=USD","Period=FQ","BEST_FPERIOD_OVERRIDE=FQ","FILING_STATUS=OR","SCALING_FORMAT=MLN","Sort=A","Dates=H","DateFormat=P","Fill=—","Direction=H","UseDPDF=Y")</f>
        <v>225</v>
      </c>
      <c r="J39" s="16">
        <f>_xll.BDH("XOM US Equity","CF_ACT_CASH_PAID_FOR_INT_DEBT","FQ2 2000","FQ2 2000","Currency=USD","Period=FQ","BEST_FPERIOD_OVERRIDE=FQ","FILING_STATUS=OR","SCALING_FORMAT=MLN","Sort=A","Dates=H","DateFormat=P","Fill=—","Direction=H","UseDPDF=Y")</f>
        <v>251</v>
      </c>
      <c r="K39" s="16">
        <f>_xll.BDH("XOM US Equity","CF_ACT_CASH_PAID_FOR_INT_DEBT","FQ3 2000","FQ3 2000","Currency=USD","Period=FQ","BEST_FPERIOD_OVERRIDE=FQ","FILING_STATUS=OR","SCALING_FORMAT=MLN","Sort=A","Dates=H","DateFormat=P","Fill=—","Direction=H","UseDPDF=Y")</f>
        <v>114</v>
      </c>
      <c r="L39" s="16">
        <f>_xll.BDH("XOM US Equity","CF_ACT_CASH_PAID_FOR_INT_DEBT","FQ4 2000","FQ4 2000","Currency=USD","Period=FQ","BEST_FPERIOD_OVERRIDE=FQ","FILING_STATUS=OR","SCALING_FORMAT=MLN","Sort=A","Dates=H","DateFormat=P","Fill=—","Direction=H","UseDPDF=Y")</f>
        <v>139</v>
      </c>
      <c r="M39" s="16">
        <f>_xll.BDH("XOM US Equity","CF_ACT_CASH_PAID_FOR_INT_DEBT","FQ1 2001","FQ1 2001","Currency=USD","Period=FQ","BEST_FPERIOD_OVERRIDE=FQ","FILING_STATUS=OR","SCALING_FORMAT=MLN","Sort=A","Dates=H","DateFormat=P","Fill=—","Direction=H","UseDPDF=Y")</f>
        <v>166</v>
      </c>
      <c r="N39" s="16">
        <f>_xll.BDH("XOM US Equity","CF_ACT_CASH_PAID_FOR_INT_DEBT","FQ2 2001","FQ2 2001","Currency=USD","Period=FQ","BEST_FPERIOD_OVERRIDE=FQ","FILING_STATUS=OR","SCALING_FORMAT=MLN","Sort=A","Dates=H","DateFormat=P","Fill=—","Direction=H","UseDPDF=Y")</f>
        <v>78</v>
      </c>
      <c r="O39" s="16">
        <f>_xll.BDH("XOM US Equity","CF_ACT_CASH_PAID_FOR_INT_DEBT","FQ3 2001","FQ3 2001","Currency=USD","Period=FQ","BEST_FPERIOD_OVERRIDE=FQ","FILING_STATUS=OR","SCALING_FORMAT=MLN","Sort=A","Dates=H","DateFormat=P","Fill=—","Direction=H","UseDPDF=Y")</f>
        <v>159</v>
      </c>
      <c r="P39" s="16">
        <f>_xll.BDH("XOM US Equity","CF_ACT_CASH_PAID_FOR_INT_DEBT","FQ4 2001","FQ4 2001","Currency=USD","Period=FQ","BEST_FPERIOD_OVERRIDE=FQ","FILING_STATUS=OR","SCALING_FORMAT=MLN","Sort=A","Dates=H","DateFormat=P","Fill=—","Direction=H","UseDPDF=Y")</f>
        <v>159</v>
      </c>
      <c r="Q39" s="16">
        <f>_xll.BDH("XOM US Equity","CF_ACT_CASH_PAID_FOR_INT_DEBT","FQ1 2002","FQ1 2002","Currency=USD","Period=FQ","BEST_FPERIOD_OVERRIDE=FQ","FILING_STATUS=OR","SCALING_FORMAT=MLN","Sort=A","Dates=H","DateFormat=P","Fill=—","Direction=H","UseDPDF=Y")</f>
        <v>153</v>
      </c>
      <c r="R39" s="16">
        <f>_xll.BDH("XOM US Equity","CF_ACT_CASH_PAID_FOR_INT_DEBT","FQ2 2002","FQ2 2002","Currency=USD","Period=FQ","BEST_FPERIOD_OVERRIDE=FQ","FILING_STATUS=OR","SCALING_FORMAT=MLN","Sort=A","Dates=H","DateFormat=P","Fill=—","Direction=H","UseDPDF=Y")</f>
        <v>55</v>
      </c>
      <c r="S39" s="16">
        <f>_xll.BDH("XOM US Equity","CF_ACT_CASH_PAID_FOR_INT_DEBT","FQ3 2002","FQ3 2002","Currency=USD","Period=FQ","BEST_FPERIOD_OVERRIDE=FQ","FILING_STATUS=OR","SCALING_FORMAT=MLN","Sort=A","Dates=H","DateFormat=P","Fill=—","Direction=H","UseDPDF=Y")</f>
        <v>120</v>
      </c>
      <c r="T39" s="16">
        <f>_xll.BDH("XOM US Equity","CF_ACT_CASH_PAID_FOR_INT_DEBT","FQ4 2002","FQ4 2002","Currency=USD","Period=FQ","BEST_FPERIOD_OVERRIDE=FQ","FILING_STATUS=OR","SCALING_FORMAT=MLN","Sort=A","Dates=H","DateFormat=P","Fill=—","Direction=H","UseDPDF=Y")</f>
        <v>109</v>
      </c>
      <c r="U39" s="16">
        <f>_xll.BDH("XOM US Equity","CF_ACT_CASH_PAID_FOR_INT_DEBT","FQ1 2003","FQ1 2003","Currency=USD","Period=FQ","BEST_FPERIOD_OVERRIDE=FQ","FILING_STATUS=OR","SCALING_FORMAT=MLN","Sort=A","Dates=H","DateFormat=P","Fill=—","Direction=H","UseDPDF=Y")</f>
        <v>92</v>
      </c>
      <c r="V39" s="16">
        <f>_xll.BDH("XOM US Equity","CF_ACT_CASH_PAID_FOR_INT_DEBT","FQ2 2003","FQ2 2003","Currency=USD","Period=FQ","BEST_FPERIOD_OVERRIDE=FQ","FILING_STATUS=OR","SCALING_FORMAT=MLN","Sort=A","Dates=H","DateFormat=P","Fill=—","Direction=H","UseDPDF=Y")</f>
        <v>67</v>
      </c>
      <c r="W39" s="16">
        <f>_xll.BDH("XOM US Equity","CF_ACT_CASH_PAID_FOR_INT_DEBT","FQ3 2003","FQ3 2003","Currency=USD","Period=FQ","BEST_FPERIOD_OVERRIDE=FQ","FILING_STATUS=OR","SCALING_FORMAT=MLN","Sort=A","Dates=H","DateFormat=P","Fill=—","Direction=H","UseDPDF=Y")</f>
        <v>161</v>
      </c>
      <c r="X39" s="16">
        <f>_xll.BDH("XOM US Equity","CF_ACT_CASH_PAID_FOR_INT_DEBT","FQ4 2003","FQ4 2003","Currency=USD","Period=FQ","BEST_FPERIOD_OVERRIDE=FQ","FILING_STATUS=OR","SCALING_FORMAT=MLN","Sort=A","Dates=H","DateFormat=P","Fill=—","Direction=H","UseDPDF=Y")</f>
        <v>109</v>
      </c>
      <c r="Y39" s="16">
        <f>_xll.BDH("XOM US Equity","CF_ACT_CASH_PAID_FOR_INT_DEBT","FQ1 2004","FQ1 2004","Currency=USD","Period=FQ","BEST_FPERIOD_OVERRIDE=FQ","FILING_STATUS=OR","SCALING_FORMAT=MLN","Sort=A","Dates=H","DateFormat=P","Fill=—","Direction=H","UseDPDF=Y")</f>
        <v>73</v>
      </c>
      <c r="Z39" s="16">
        <f>_xll.BDH("XOM US Equity","CF_ACT_CASH_PAID_FOR_INT_DEBT","FQ2 2004","FQ2 2004","Currency=USD","Period=FQ","BEST_FPERIOD_OVERRIDE=FQ","FILING_STATUS=OR","SCALING_FORMAT=MLN","Sort=A","Dates=H","DateFormat=P","Fill=—","Direction=H","UseDPDF=Y")</f>
        <v>58</v>
      </c>
      <c r="AA39" s="16">
        <f>_xll.BDH("XOM US Equity","CF_ACT_CASH_PAID_FOR_INT_DEBT","FQ3 2004","FQ3 2004","Currency=USD","Period=FQ","BEST_FPERIOD_OVERRIDE=FQ","FILING_STATUS=OR","SCALING_FORMAT=MLN","Sort=A","Dates=H","DateFormat=P","Fill=—","Direction=H","UseDPDF=Y")</f>
        <v>88</v>
      </c>
      <c r="AB39" s="16">
        <f>_xll.BDH("XOM US Equity","CF_ACT_CASH_PAID_FOR_INT_DEBT","FQ4 2004","FQ4 2004","Currency=USD","Period=FQ","BEST_FPERIOD_OVERRIDE=FQ","FILING_STATUS=OR","SCALING_FORMAT=MLN","Sort=A","Dates=H","DateFormat=P","Fill=—","Direction=H","UseDPDF=Y")</f>
        <v>109</v>
      </c>
      <c r="AC39" s="16">
        <f>_xll.BDH("XOM US Equity","CF_ACT_CASH_PAID_FOR_INT_DEBT","FQ1 2005","FQ1 2005","Currency=USD","Period=FQ","BEST_FPERIOD_OVERRIDE=FQ","FILING_STATUS=OR","SCALING_FORMAT=MLN","Sort=A","Dates=H","DateFormat=P","Fill=—","Direction=H","UseDPDF=Y")</f>
        <v>66</v>
      </c>
      <c r="AD39" s="16">
        <f>_xll.BDH("XOM US Equity","CF_ACT_CASH_PAID_FOR_INT_DEBT","FQ2 2005","FQ2 2005","Currency=USD","Period=FQ","BEST_FPERIOD_OVERRIDE=FQ","FILING_STATUS=OR","SCALING_FORMAT=MLN","Sort=A","Dates=H","DateFormat=P","Fill=—","Direction=H","UseDPDF=Y")</f>
        <v>72</v>
      </c>
      <c r="AE39" s="16">
        <f>_xll.BDH("XOM US Equity","CF_ACT_CASH_PAID_FOR_INT_DEBT","FQ3 2005","FQ3 2005","Currency=USD","Period=FQ","BEST_FPERIOD_OVERRIDE=FQ","FILING_STATUS=OR","SCALING_FORMAT=MLN","Sort=A","Dates=H","DateFormat=P","Fill=—","Direction=H","UseDPDF=Y")</f>
        <v>223</v>
      </c>
      <c r="AF39" s="16">
        <f>_xll.BDH("XOM US Equity","CF_ACT_CASH_PAID_FOR_INT_DEBT","FQ4 2005","FQ4 2005","Currency=USD","Period=FQ","BEST_FPERIOD_OVERRIDE=FQ","FILING_STATUS=OR","SCALING_FORMAT=MLN","Sort=A","Dates=H","DateFormat=P","Fill=—","Direction=H","UseDPDF=Y")</f>
        <v>112</v>
      </c>
      <c r="AG39" s="16">
        <f>_xll.BDH("XOM US Equity","CF_ACT_CASH_PAID_FOR_INT_DEBT","FQ1 2006","FQ1 2006","Currency=USD","Period=FQ","BEST_FPERIOD_OVERRIDE=FQ","FILING_STATUS=OR","SCALING_FORMAT=MLN","Sort=A","Dates=H","DateFormat=P","Fill=—","Direction=H","UseDPDF=Y")</f>
        <v>108</v>
      </c>
      <c r="AH39" s="16">
        <f>_xll.BDH("XOM US Equity","CF_ACT_CASH_PAID_FOR_INT_DEBT","FQ2 2006","FQ2 2006","Currency=USD","Period=FQ","BEST_FPERIOD_OVERRIDE=FQ","FILING_STATUS=OR","SCALING_FORMAT=MLN","Sort=A","Dates=H","DateFormat=P","Fill=—","Direction=H","UseDPDF=Y")</f>
        <v>880</v>
      </c>
      <c r="AI39" s="16">
        <f>_xll.BDH("XOM US Equity","CF_ACT_CASH_PAID_FOR_INT_DEBT","FQ3 2006","FQ3 2006","Currency=USD","Period=FQ","BEST_FPERIOD_OVERRIDE=FQ","FILING_STATUS=OR","SCALING_FORMAT=MLN","Sort=A","Dates=H","DateFormat=P","Fill=—","Direction=H","UseDPDF=Y")</f>
        <v>111</v>
      </c>
      <c r="AJ39" s="16">
        <f>_xll.BDH("XOM US Equity","CF_ACT_CASH_PAID_FOR_INT_DEBT","FQ4 2006","FQ4 2006","Currency=USD","Period=FQ","BEST_FPERIOD_OVERRIDE=FQ","FILING_STATUS=OR","SCALING_FORMAT=MLN","Sort=A","Dates=H","DateFormat=P","Fill=—","Direction=H","UseDPDF=Y")</f>
        <v>283</v>
      </c>
      <c r="AK39" s="16">
        <f>_xll.BDH("XOM US Equity","CF_ACT_CASH_PAID_FOR_INT_DEBT","FQ1 2007","FQ1 2007","Currency=USD","Period=FQ","BEST_FPERIOD_OVERRIDE=FQ","FILING_STATUS=OR","SCALING_FORMAT=MLN","Sort=A","Dates=H","DateFormat=P","Fill=—","Direction=H","UseDPDF=Y")</f>
        <v>137</v>
      </c>
      <c r="AL39" s="16">
        <f>_xll.BDH("XOM US Equity","CF_ACT_CASH_PAID_FOR_INT_DEBT","FQ2 2007","FQ2 2007","Currency=USD","Period=FQ","BEST_FPERIOD_OVERRIDE=FQ","FILING_STATUS=OR","SCALING_FORMAT=MLN","Sort=A","Dates=H","DateFormat=P","Fill=—","Direction=H","UseDPDF=Y")</f>
        <v>109</v>
      </c>
      <c r="AM39" s="16">
        <f>_xll.BDH("XOM US Equity","CF_ACT_CASH_PAID_FOR_INT_DEBT","FQ3 2007","FQ3 2007","Currency=USD","Period=FQ","BEST_FPERIOD_OVERRIDE=FQ","FILING_STATUS=OR","SCALING_FORMAT=MLN","Sort=A","Dates=H","DateFormat=P","Fill=—","Direction=H","UseDPDF=Y")</f>
        <v>130</v>
      </c>
      <c r="AN39" s="16">
        <f>_xll.BDH("XOM US Equity","CF_ACT_CASH_PAID_FOR_INT_DEBT","FQ4 2007","FQ4 2007","Currency=USD","Period=FQ","BEST_FPERIOD_OVERRIDE=FQ","FILING_STATUS=OR","SCALING_FORMAT=MLN","Sort=A","Dates=H","DateFormat=P","Fill=—","Direction=H","UseDPDF=Y")</f>
        <v>179</v>
      </c>
      <c r="AO39" s="16">
        <f>_xll.BDH("XOM US Equity","CF_ACT_CASH_PAID_FOR_INT_DEBT","FQ1 2008","FQ1 2008","Currency=USD","Period=FQ","BEST_FPERIOD_OVERRIDE=FQ","FILING_STATUS=OR","SCALING_FORMAT=MLN","Sort=A","Dates=H","DateFormat=P","Fill=—","Direction=H","UseDPDF=Y")</f>
        <v>184</v>
      </c>
      <c r="AP39" s="16">
        <f>_xll.BDH("XOM US Equity","CF_ACT_CASH_PAID_FOR_INT_DEBT","FQ2 2008","FQ2 2008","Currency=USD","Period=FQ","BEST_FPERIOD_OVERRIDE=FQ","FILING_STATUS=OR","SCALING_FORMAT=MLN","Sort=A","Dates=H","DateFormat=P","Fill=—","Direction=H","UseDPDF=Y")</f>
        <v>153</v>
      </c>
    </row>
    <row r="40" spans="1:42" x14ac:dyDescent="0.25">
      <c r="A40" s="6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1:42" x14ac:dyDescent="0.25">
      <c r="A41" s="6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spans="1:42" x14ac:dyDescent="0.25">
      <c r="A42" s="10" t="s">
        <v>153</v>
      </c>
      <c r="B42" s="10" t="s">
        <v>153</v>
      </c>
      <c r="C42" s="13">
        <f>_xll.BDH("XOM US Equity","EBITDA","FQ3 1998","FQ3 1998","Currency=USD","Period=FQ","BEST_FPERIOD_OVERRIDE=FQ","FILING_STATUS=OR","SCALING_FORMAT=MLN","FA_ADJUSTED=GAAP","Sort=A","Dates=H","DateFormat=P","Fill=—","Direction=H","UseDPDF=Y")</f>
        <v>2999</v>
      </c>
      <c r="D42" s="13" t="str">
        <f>_xll.BDH("XOM US Equity","EBITDA","FQ4 1998","FQ4 1998","Currency=USD","Period=FQ","BEST_FPERIOD_OVERRIDE=FQ","FILING_STATUS=OR","SCALING_FORMAT=MLN","FA_ADJUSTED=GAAP","Sort=A","Dates=H","DateFormat=P","Fill=—","Direction=H","UseDPDF=Y")</f>
        <v>—</v>
      </c>
      <c r="E42" s="13">
        <f>_xll.BDH("XOM US Equity","EBITDA","FQ1 1999","FQ1 1999","Currency=USD","Period=FQ","BEST_FPERIOD_OVERRIDE=FQ","FILING_STATUS=OR","SCALING_FORMAT=MLN","FA_ADJUSTED=GAAP","Sort=A","Dates=H","DateFormat=P","Fill=—","Direction=H","UseDPDF=Y")</f>
        <v>2015</v>
      </c>
      <c r="F42" s="13">
        <f>_xll.BDH("XOM US Equity","EBITDA","FQ2 1999","FQ2 1999","Currency=USD","Period=FQ","BEST_FPERIOD_OVERRIDE=FQ","FILING_STATUS=OR","SCALING_FORMAT=MLN","FA_ADJUSTED=GAAP","Sort=A","Dates=H","DateFormat=P","Fill=—","Direction=H","UseDPDF=Y")</f>
        <v>2541</v>
      </c>
      <c r="G42" s="13">
        <f>_xll.BDH("XOM US Equity","EBITDA","FQ3 1999","FQ3 1999","Currency=USD","Period=FQ","BEST_FPERIOD_OVERRIDE=FQ","FILING_STATUS=OR","SCALING_FORMAT=MLN","FA_ADJUSTED=GAAP","Sort=A","Dates=H","DateFormat=P","Fill=—","Direction=H","UseDPDF=Y")</f>
        <v>3339</v>
      </c>
      <c r="H42" s="13">
        <f>_xll.BDH("XOM US Equity","EBITDA","FQ4 1999","FQ4 1999","Currency=USD","Period=FQ","BEST_FPERIOD_OVERRIDE=FQ","FILING_STATUS=OR","SCALING_FORMAT=MLN","FA_ADJUSTED=GAAP","Sort=A","Dates=H","DateFormat=P","Fill=—","Direction=H","UseDPDF=Y")</f>
        <v>10026</v>
      </c>
      <c r="I42" s="13">
        <f>_xll.BDH("XOM US Equity","EBITDA","FQ1 2000","FQ1 2000","Currency=USD","Period=FQ","BEST_FPERIOD_OVERRIDE=FQ","FILING_STATUS=OR","SCALING_FORMAT=MLN","FA_ADJUSTED=GAAP","Sort=A","Dates=H","DateFormat=P","Fill=—","Direction=H","UseDPDF=Y")</f>
        <v>7362</v>
      </c>
      <c r="J42" s="13">
        <f>_xll.BDH("XOM US Equity","EBITDA","FQ2 2000","FQ2 2000","Currency=USD","Period=FQ","BEST_FPERIOD_OVERRIDE=FQ","FILING_STATUS=OR","SCALING_FORMAT=MLN","FA_ADJUSTED=GAAP","Sort=A","Dates=H","DateFormat=P","Fill=—","Direction=H","UseDPDF=Y")</f>
        <v>8063</v>
      </c>
      <c r="K42" s="13">
        <f>_xll.BDH("XOM US Equity","EBITDA","FQ3 2000","FQ3 2000","Currency=USD","Period=FQ","BEST_FPERIOD_OVERRIDE=FQ","FILING_STATUS=OR","SCALING_FORMAT=MLN","FA_ADJUSTED=GAAP","Sort=A","Dates=H","DateFormat=P","Fill=—","Direction=H","UseDPDF=Y")</f>
        <v>8080</v>
      </c>
      <c r="L42" s="13">
        <f>_xll.BDH("XOM US Equity","EBITDA","FQ4 2000","FQ4 2000","Currency=USD","Period=FQ","BEST_FPERIOD_OVERRIDE=FQ","FILING_STATUS=OR","SCALING_FORMAT=MLN","FA_ADJUSTED=GAAP","Sort=A","Dates=H","DateFormat=P","Fill=—","Direction=H","UseDPDF=Y")</f>
        <v>9804</v>
      </c>
      <c r="M42" s="13">
        <f>_xll.BDH("XOM US Equity","EBITDA","FQ1 2001","FQ1 2001","Currency=USD","Period=FQ","BEST_FPERIOD_OVERRIDE=FQ","FILING_STATUS=OR","SCALING_FORMAT=MLN","FA_ADJUSTED=GAAP","Sort=A","Dates=H","DateFormat=P","Fill=—","Direction=H","UseDPDF=Y")</f>
        <v>9382</v>
      </c>
      <c r="N42" s="13">
        <f>_xll.BDH("XOM US Equity","EBITDA","FQ2 2001","FQ2 2001","Currency=USD","Period=FQ","BEST_FPERIOD_OVERRIDE=FQ","FILING_STATUS=OR","SCALING_FORMAT=MLN","FA_ADJUSTED=GAAP","Sort=A","Dates=H","DateFormat=P","Fill=—","Direction=H","UseDPDF=Y")</f>
        <v>7980</v>
      </c>
      <c r="O42" s="13">
        <f>_xll.BDH("XOM US Equity","EBITDA","FQ3 2001","FQ3 2001","Currency=USD","Period=FQ","BEST_FPERIOD_OVERRIDE=FQ","FILING_STATUS=OR","SCALING_FORMAT=MLN","FA_ADJUSTED=GAAP","Sort=A","Dates=H","DateFormat=P","Fill=—","Direction=H","UseDPDF=Y")</f>
        <v>6562</v>
      </c>
      <c r="P42" s="13">
        <f>_xll.BDH("XOM US Equity","EBITDA","FQ4 2001","FQ4 2001","Currency=USD","Period=FQ","BEST_FPERIOD_OVERRIDE=FQ","FILING_STATUS=OR","SCALING_FORMAT=MLN","FA_ADJUSTED=GAAP","Sort=A","Dates=H","DateFormat=P","Fill=—","Direction=H","UseDPDF=Y")</f>
        <v>4814</v>
      </c>
      <c r="Q42" s="13">
        <f>_xll.BDH("XOM US Equity","EBITDA","FQ1 2002","FQ1 2002","Currency=USD","Period=FQ","BEST_FPERIOD_OVERRIDE=FQ","FILING_STATUS=OR","SCALING_FORMAT=MLN","FA_ADJUSTED=GAAP","Sort=A","Dates=H","DateFormat=P","Fill=—","Direction=H","UseDPDF=Y")</f>
        <v>4755</v>
      </c>
      <c r="R42" s="13">
        <f>_xll.BDH("XOM US Equity","EBITDA","FQ2 2002","FQ2 2002","Currency=USD","Period=FQ","BEST_FPERIOD_OVERRIDE=FQ","FILING_STATUS=OR","SCALING_FORMAT=MLN","FA_ADJUSTED=GAAP","Sort=A","Dates=H","DateFormat=P","Fill=—","Direction=H","UseDPDF=Y")</f>
        <v>5591</v>
      </c>
      <c r="S42" s="13">
        <f>_xll.BDH("XOM US Equity","EBITDA","FQ3 2002","FQ3 2002","Currency=USD","Period=FQ","BEST_FPERIOD_OVERRIDE=FQ","FILING_STATUS=OR","SCALING_FORMAT=MLN","FA_ADJUSTED=GAAP","Sort=A","Dates=H","DateFormat=P","Fill=—","Direction=H","UseDPDF=Y")</f>
        <v>6045</v>
      </c>
      <c r="T42" s="13">
        <f>_xll.BDH("XOM US Equity","EBITDA","FQ4 2002","FQ4 2002","Currency=USD","Period=FQ","BEST_FPERIOD_OVERRIDE=FQ","FILING_STATUS=OR","SCALING_FORMAT=MLN","FA_ADJUSTED=GAAP","Sort=A","Dates=H","DateFormat=P","Fill=—","Direction=H","UseDPDF=Y")</f>
        <v>6938</v>
      </c>
      <c r="U42" s="13">
        <f>_xll.BDH("XOM US Equity","EBITDA","FQ1 2003","FQ1 2003","Currency=USD","Period=FQ","BEST_FPERIOD_OVERRIDE=FQ","FILING_STATUS=OR","SCALING_FORMAT=MLN","FA_ADJUSTED=GAAP","Sort=A","Dates=H","DateFormat=P","Fill=—","Direction=H","UseDPDF=Y")</f>
        <v>8883</v>
      </c>
      <c r="V42" s="13">
        <f>_xll.BDH("XOM US Equity","EBITDA","FQ2 2003","FQ2 2003","Currency=USD","Period=FQ","BEST_FPERIOD_OVERRIDE=FQ","FILING_STATUS=OR","SCALING_FORMAT=MLN","FA_ADJUSTED=GAAP","Sort=A","Dates=H","DateFormat=P","Fill=—","Direction=H","UseDPDF=Y")</f>
        <v>8089</v>
      </c>
      <c r="W42" s="13">
        <f>_xll.BDH("XOM US Equity","EBITDA","FQ3 2003","FQ3 2003","Currency=USD","Period=FQ","BEST_FPERIOD_OVERRIDE=FQ","FILING_STATUS=OR","SCALING_FORMAT=MLN","FA_ADJUSTED=GAAP","Sort=A","Dates=H","DateFormat=P","Fill=—","Direction=H","UseDPDF=Y")</f>
        <v>7226</v>
      </c>
      <c r="X42" s="13">
        <f>_xll.BDH("XOM US Equity","EBITDA","FQ4 2003","FQ4 2003","Currency=USD","Period=FQ","BEST_FPERIOD_OVERRIDE=FQ","FILING_STATUS=OR","SCALING_FORMAT=MLN","FA_ADJUSTED=GAAP","Sort=A","Dates=H","DateFormat=P","Fill=—","Direction=H","UseDPDF=Y")</f>
        <v>8032</v>
      </c>
      <c r="Y42" s="13">
        <f>_xll.BDH("XOM US Equity","EBITDA","FQ1 2004","FQ1 2004","Currency=USD","Period=FQ","BEST_FPERIOD_OVERRIDE=FQ","FILING_STATUS=OR","SCALING_FORMAT=MLN","FA_ADJUSTED=GAAP","Sort=A","Dates=H","DateFormat=P","Fill=—","Direction=H","UseDPDF=Y")</f>
        <v>9995</v>
      </c>
      <c r="Z42" s="13">
        <f>_xll.BDH("XOM US Equity","EBITDA","FQ2 2004","FQ2 2004","Currency=USD","Period=FQ","BEST_FPERIOD_OVERRIDE=FQ","FILING_STATUS=OR","SCALING_FORMAT=MLN","FA_ADJUSTED=GAAP","Sort=A","Dates=H","DateFormat=P","Fill=—","Direction=H","UseDPDF=Y")</f>
        <v>10549</v>
      </c>
      <c r="AA42" s="13">
        <f>_xll.BDH("XOM US Equity","EBITDA","FQ3 2004","FQ3 2004","Currency=USD","Period=FQ","BEST_FPERIOD_OVERRIDE=FQ","FILING_STATUS=OR","SCALING_FORMAT=MLN","FA_ADJUSTED=GAAP","Sort=A","Dates=H","DateFormat=P","Fill=—","Direction=H","UseDPDF=Y")</f>
        <v>11102</v>
      </c>
      <c r="AB42" s="13">
        <f>_xll.BDH("XOM US Equity","EBITDA","FQ4 2004","FQ4 2004","Currency=USD","Period=FQ","BEST_FPERIOD_OVERRIDE=FQ","FILING_STATUS=OR","SCALING_FORMAT=MLN","FA_ADJUSTED=GAAP","Sort=A","Dates=H","DateFormat=P","Fill=—","Direction=H","UseDPDF=Y")</f>
        <v>13993</v>
      </c>
      <c r="AC42" s="13">
        <f>_xll.BDH("XOM US Equity","EBITDA","FQ1 2005","FQ1 2005","Currency=USD","Period=FQ","BEST_FPERIOD_OVERRIDE=FQ","FILING_STATUS=OR","SCALING_FORMAT=MLN","FA_ADJUSTED=GAAP","Sort=A","Dates=H","DateFormat=P","Fill=—","Direction=H","UseDPDF=Y")</f>
        <v>13031</v>
      </c>
      <c r="AD42" s="13">
        <f>_xll.BDH("XOM US Equity","EBITDA","FQ2 2005","FQ2 2005","Currency=USD","Period=FQ","BEST_FPERIOD_OVERRIDE=FQ","FILING_STATUS=OR","SCALING_FORMAT=MLN","FA_ADJUSTED=GAAP","Sort=A","Dates=H","DateFormat=P","Fill=—","Direction=H","UseDPDF=Y")</f>
        <v>13772</v>
      </c>
      <c r="AE42" s="13">
        <f>_xll.BDH("XOM US Equity","EBITDA","FQ3 2005","FQ3 2005","Currency=USD","Period=FQ","BEST_FPERIOD_OVERRIDE=FQ","FILING_STATUS=OR","SCALING_FORMAT=MLN","FA_ADJUSTED=GAAP","Sort=A","Dates=H","DateFormat=P","Fill=—","Direction=H","UseDPDF=Y")</f>
        <v>14826</v>
      </c>
      <c r="AF42" s="13">
        <f>_xll.BDH("XOM US Equity","EBITDA","FQ4 2005","FQ4 2005","Currency=USD","Period=FQ","BEST_FPERIOD_OVERRIDE=FQ","FILING_STATUS=OR","SCALING_FORMAT=MLN","FA_ADJUSTED=GAAP","Sort=A","Dates=H","DateFormat=P","Fill=—","Direction=H","UseDPDF=Y")</f>
        <v>17626</v>
      </c>
      <c r="AG42" s="13">
        <f>_xll.BDH("XOM US Equity","EBITDA","FQ1 2006","FQ1 2006","Currency=USD","Period=FQ","BEST_FPERIOD_OVERRIDE=FQ","FILING_STATUS=OR","SCALING_FORMAT=MLN","FA_ADJUSTED=GAAP","Sort=A","Dates=H","DateFormat=P","Fill=—","Direction=H","UseDPDF=Y")</f>
        <v>15787</v>
      </c>
      <c r="AH42" s="13">
        <f>_xll.BDH("XOM US Equity","EBITDA","FQ2 2006","FQ2 2006","Currency=USD","Period=FQ","BEST_FPERIOD_OVERRIDE=FQ","FILING_STATUS=OR","SCALING_FORMAT=MLN","FA_ADJUSTED=GAAP","Sort=A","Dates=H","DateFormat=P","Fill=—","Direction=H","UseDPDF=Y")</f>
        <v>18314</v>
      </c>
      <c r="AI42" s="13">
        <f>_xll.BDH("XOM US Equity","EBITDA","FQ3 2006","FQ3 2006","Currency=USD","Period=FQ","BEST_FPERIOD_OVERRIDE=FQ","FILING_STATUS=OR","SCALING_FORMAT=MLN","FA_ADJUSTED=GAAP","Sort=A","Dates=H","DateFormat=P","Fill=—","Direction=H","UseDPDF=Y")</f>
        <v>18156</v>
      </c>
      <c r="AJ42" s="13">
        <f>_xll.BDH("XOM US Equity","EBITDA","FQ4 2006","FQ4 2006","Currency=USD","Period=FQ","BEST_FPERIOD_OVERRIDE=FQ","FILING_STATUS=OR","SCALING_FORMAT=MLN","FA_ADJUSTED=GAAP","Sort=A","Dates=H","DateFormat=P","Fill=—","Direction=H","UseDPDF=Y")</f>
        <v>16098</v>
      </c>
      <c r="AK42" s="13">
        <f>_xll.BDH("XOM US Equity","EBITDA","FQ1 2007","FQ1 2007","Currency=USD","Period=FQ","BEST_FPERIOD_OVERRIDE=FQ","FILING_STATUS=OR","SCALING_FORMAT=MLN","FA_ADJUSTED=GAAP","Sort=A","Dates=H","DateFormat=P","Fill=—","Direction=H","UseDPDF=Y")</f>
        <v>16310</v>
      </c>
      <c r="AL42" s="13">
        <f>_xll.BDH("XOM US Equity","EBITDA","FQ2 2007","FQ2 2007","Currency=USD","Period=FQ","BEST_FPERIOD_OVERRIDE=FQ","FILING_STATUS=OR","SCALING_FORMAT=MLN","FA_ADJUSTED=GAAP","Sort=A","Dates=H","DateFormat=P","Fill=—","Direction=H","UseDPDF=Y")</f>
        <v>17915</v>
      </c>
      <c r="AM42" s="13">
        <f>_xll.BDH("XOM US Equity","EBITDA","FQ3 2007","FQ3 2007","Currency=USD","Period=FQ","BEST_FPERIOD_OVERRIDE=FQ","FILING_STATUS=OR","SCALING_FORMAT=MLN","FA_ADJUSTED=GAAP","Sort=A","Dates=H","DateFormat=P","Fill=—","Direction=H","UseDPDF=Y")</f>
        <v>17069</v>
      </c>
      <c r="AN42" s="13">
        <f>_xll.BDH("XOM US Equity","EBITDA","FQ4 2007","FQ4 2007","Currency=USD","Period=FQ","BEST_FPERIOD_OVERRIDE=FQ","FILING_STATUS=OR","SCALING_FORMAT=MLN","FA_ADJUSTED=GAAP","Sort=A","Dates=H","DateFormat=P","Fill=—","Direction=H","UseDPDF=Y")</f>
        <v>18611</v>
      </c>
      <c r="AO42" s="13">
        <f>_xll.BDH("XOM US Equity","EBITDA","FQ1 2008","FQ1 2008","Currency=USD","Period=FQ","BEST_FPERIOD_OVERRIDE=FQ","FILING_STATUS=OR","SCALING_FORMAT=MLN","FA_ADJUSTED=GAAP","Sort=A","Dates=H","DateFormat=P","Fill=—","Direction=H","UseDPDF=Y")</f>
        <v>20899</v>
      </c>
      <c r="AP42" s="13">
        <f>_xll.BDH("XOM US Equity","EBITDA","FQ2 2008","FQ2 2008","Currency=USD","Period=FQ","BEST_FPERIOD_OVERRIDE=FQ","FILING_STATUS=OR","SCALING_FORMAT=MLN","FA_ADJUSTED=GAAP","Sort=A","Dates=H","DateFormat=P","Fill=—","Direction=H","UseDPDF=Y")</f>
        <v>21332</v>
      </c>
    </row>
    <row r="43" spans="1:42" x14ac:dyDescent="0.25">
      <c r="A43" s="10" t="s">
        <v>337</v>
      </c>
      <c r="B43" s="10" t="s">
        <v>155</v>
      </c>
      <c r="C43" s="14">
        <f>_xll.BDH("XOM US Equity","EBITDA_MARGIN","FQ3 1998","FQ3 1998","Currency=USD","Period=FQ","BEST_FPERIOD_OVERRIDE=FQ","FILING_STATUS=OR","FA_ADJUSTED=GAAP","Sort=A","Dates=H","DateFormat=P","Fill=—","Direction=H","UseDPDF=Y")</f>
        <v>15.2037</v>
      </c>
      <c r="D43" s="14" t="str">
        <f>_xll.BDH("XOM US Equity","EBITDA_MARGIN","FQ4 1998","FQ4 1998","Currency=USD","Period=FQ","BEST_FPERIOD_OVERRIDE=FQ","FILING_STATUS=OR","FA_ADJUSTED=GAAP","Sort=A","Dates=H","DateFormat=P","Fill=—","Direction=H","UseDPDF=Y")</f>
        <v>—</v>
      </c>
      <c r="E43" s="14">
        <f>_xll.BDH("XOM US Equity","EBITDA_MARGIN","FQ1 1999","FQ1 1999","Currency=USD","Period=FQ","BEST_FPERIOD_OVERRIDE=FQ","FILING_STATUS=OR","FA_ADJUSTED=GAAP","Sort=A","Dates=H","DateFormat=P","Fill=—","Direction=H","UseDPDF=Y")</f>
        <v>10.622199999999999</v>
      </c>
      <c r="F43" s="14">
        <f>_xll.BDH("XOM US Equity","EBITDA_MARGIN","FQ2 1999","FQ2 1999","Currency=USD","Period=FQ","BEST_FPERIOD_OVERRIDE=FQ","FILING_STATUS=OR","FA_ADJUSTED=GAAP","Sort=A","Dates=H","DateFormat=P","Fill=—","Direction=H","UseDPDF=Y")</f>
        <v>10.426500000000001</v>
      </c>
      <c r="G43" s="14">
        <f>_xll.BDH("XOM US Equity","EBITDA_MARGIN","FQ3 1999","FQ3 1999","Currency=USD","Period=FQ","BEST_FPERIOD_OVERRIDE=FQ","FILING_STATUS=OR","FA_ADJUSTED=GAAP","Sort=A","Dates=H","DateFormat=P","Fill=—","Direction=H","UseDPDF=Y")</f>
        <v>10.6006</v>
      </c>
      <c r="H43" s="14">
        <f>_xll.BDH("XOM US Equity","EBITDA_MARGIN","FQ4 1999","FQ4 1999","Currency=USD","Period=FQ","BEST_FPERIOD_OVERRIDE=FQ","FILING_STATUS=OR","FA_ADJUSTED=GAAP","Sort=A","Dates=H","DateFormat=P","Fill=—","Direction=H","UseDPDF=Y")</f>
        <v>11.4336</v>
      </c>
      <c r="I43" s="14">
        <f>_xll.BDH("XOM US Equity","EBITDA_MARGIN","FQ1 2000","FQ1 2000","Currency=USD","Period=FQ","BEST_FPERIOD_OVERRIDE=FQ","FILING_STATUS=OR","FA_ADJUSTED=GAAP","Sort=A","Dates=H","DateFormat=P","Fill=—","Direction=H","UseDPDF=Y")</f>
        <v>12.5383</v>
      </c>
      <c r="J43" s="14">
        <f>_xll.BDH("XOM US Equity","EBITDA_MARGIN","FQ2 2000","FQ2 2000","Currency=USD","Period=FQ","BEST_FPERIOD_OVERRIDE=FQ","FILING_STATUS=OR","FA_ADJUSTED=GAAP","Sort=A","Dates=H","DateFormat=P","Fill=—","Direction=H","UseDPDF=Y")</f>
        <v>13.663499999999999</v>
      </c>
      <c r="K43" s="14">
        <f>_xll.BDH("XOM US Equity","EBITDA_MARGIN","FQ3 2000","FQ3 2000","Currency=USD","Period=FQ","BEST_FPERIOD_OVERRIDE=FQ","FILING_STATUS=OR","FA_ADJUSTED=GAAP","Sort=A","Dates=H","DateFormat=P","Fill=—","Direction=H","UseDPDF=Y")</f>
        <v>14.3893</v>
      </c>
      <c r="L43" s="14">
        <f>_xll.BDH("XOM US Equity","EBITDA_MARGIN","FQ4 2000","FQ4 2000","Currency=USD","Period=FQ","BEST_FPERIOD_OVERRIDE=FQ","FILING_STATUS=OR","FA_ADJUSTED=GAAP","Sort=A","Dates=H","DateFormat=P","Fill=—","Direction=H","UseDPDF=Y")</f>
        <v>16.1629</v>
      </c>
      <c r="M43" s="14">
        <f>_xll.BDH("XOM US Equity","EBITDA_MARGIN","FQ1 2001","FQ1 2001","Currency=USD","Period=FQ","BEST_FPERIOD_OVERRIDE=FQ","FILING_STATUS=OR","FA_ADJUSTED=GAAP","Sort=A","Dates=H","DateFormat=P","Fill=—","Direction=H","UseDPDF=Y")</f>
        <v>16.896999999999998</v>
      </c>
      <c r="N43" s="14">
        <f>_xll.BDH("XOM US Equity","EBITDA_MARGIN","FQ2 2001","FQ2 2001","Currency=USD","Period=FQ","BEST_FPERIOD_OVERRIDE=FQ","FILING_STATUS=OR","FA_ADJUSTED=GAAP","Sort=A","Dates=H","DateFormat=P","Fill=—","Direction=H","UseDPDF=Y")</f>
        <v>16.825399999999998</v>
      </c>
      <c r="O43" s="14">
        <f>_xll.BDH("XOM US Equity","EBITDA_MARGIN","FQ3 2001","FQ3 2001","Currency=USD","Period=FQ","BEST_FPERIOD_OVERRIDE=FQ","FILING_STATUS=OR","FA_ADJUSTED=GAAP","Sort=A","Dates=H","DateFormat=P","Fill=—","Direction=H","UseDPDF=Y")</f>
        <v>16.605</v>
      </c>
      <c r="P43" s="14">
        <f>_xll.BDH("XOM US Equity","EBITDA_MARGIN","FQ4 2001","FQ4 2001","Currency=USD","Period=FQ","BEST_FPERIOD_OVERRIDE=FQ","FILING_STATUS=OR","FA_ADJUSTED=GAAP","Sort=A","Dates=H","DateFormat=P","Fill=—","Direction=H","UseDPDF=Y")</f>
        <v>15.3261</v>
      </c>
      <c r="Q43" s="14">
        <f>_xll.BDH("XOM US Equity","EBITDA_MARGIN","FQ1 2002","FQ1 2002","Currency=USD","Period=FQ","BEST_FPERIOD_OVERRIDE=FQ","FILING_STATUS=OR","FA_ADJUSTED=GAAP","Sort=A","Dates=H","DateFormat=P","Fill=—","Direction=H","UseDPDF=Y")</f>
        <v>14.2171</v>
      </c>
      <c r="R43" s="14">
        <f>_xll.BDH("XOM US Equity","EBITDA_MARGIN","FQ2 2002","FQ2 2002","Currency=USD","Period=FQ","BEST_FPERIOD_OVERRIDE=FQ","FILING_STATUS=OR","FA_ADJUSTED=GAAP","Sort=A","Dates=H","DateFormat=P","Fill=—","Direction=H","UseDPDF=Y")</f>
        <v>13.255800000000001</v>
      </c>
      <c r="S43" s="14">
        <f>_xll.BDH("XOM US Equity","EBITDA_MARGIN","FQ3 2002","FQ3 2002","Currency=USD","Period=FQ","BEST_FPERIOD_OVERRIDE=FQ","FILING_STATUS=OR","FA_ADJUSTED=GAAP","Sort=A","Dates=H","DateFormat=P","Fill=—","Direction=H","UseDPDF=Y")</f>
        <v>12.821199999999999</v>
      </c>
      <c r="T43" s="14">
        <f>_xll.BDH("XOM US Equity","EBITDA_MARGIN","FQ4 2002","FQ4 2002","Currency=USD","Period=FQ","BEST_FPERIOD_OVERRIDE=FQ","FILING_STATUS=OR","FA_ADJUSTED=GAAP","Sort=A","Dates=H","DateFormat=P","Fill=—","Direction=H","UseDPDF=Y")</f>
        <v>12.533300000000001</v>
      </c>
      <c r="U43" s="14">
        <f>_xll.BDH("XOM US Equity","EBITDA_MARGIN","FQ1 2003","FQ1 2003","Currency=USD","Period=FQ","BEST_FPERIOD_OVERRIDE=FQ","FILING_STATUS=OR","FA_ADJUSTED=GAAP","Sort=A","Dates=H","DateFormat=P","Fill=—","Direction=H","UseDPDF=Y")</f>
        <v>13.558999999999999</v>
      </c>
      <c r="V43" s="14">
        <f>_xll.BDH("XOM US Equity","EBITDA_MARGIN","FQ2 2003","FQ2 2003","Currency=USD","Period=FQ","BEST_FPERIOD_OVERRIDE=FQ","FILING_STATUS=OR","FA_ADJUSTED=GAAP","Sort=A","Dates=H","DateFormat=P","Fill=—","Direction=H","UseDPDF=Y")</f>
        <v>14.3774</v>
      </c>
      <c r="W43" s="14">
        <f>_xll.BDH("XOM US Equity","EBITDA_MARGIN","FQ3 2003","FQ3 2003","Currency=USD","Period=FQ","BEST_FPERIOD_OVERRIDE=FQ","FILING_STATUS=OR","FA_ADJUSTED=GAAP","Sort=A","Dates=H","DateFormat=P","Fill=—","Direction=H","UseDPDF=Y")</f>
        <v>14.57</v>
      </c>
      <c r="X43" s="14">
        <f>_xll.BDH("XOM US Equity","EBITDA_MARGIN","FQ4 2003","FQ4 2003","Currency=USD","Period=FQ","BEST_FPERIOD_OVERRIDE=FQ","FILING_STATUS=OR","FA_ADJUSTED=GAAP","Sort=A","Dates=H","DateFormat=P","Fill=—","Direction=H","UseDPDF=Y")</f>
        <v>15.1173</v>
      </c>
      <c r="Y43" s="14">
        <f>_xll.BDH("XOM US Equity","EBITDA_MARGIN","FQ1 2004","FQ1 2004","Currency=USD","Period=FQ","BEST_FPERIOD_OVERRIDE=FQ","FILING_STATUS=OR","FA_ADJUSTED=GAAP","Sort=A","Dates=H","DateFormat=P","Fill=—","Direction=H","UseDPDF=Y")</f>
        <v>15.2605</v>
      </c>
      <c r="Z43" s="14">
        <f>_xll.BDH("XOM US Equity","EBITDA_MARGIN","FQ2 2004","FQ2 2004","Currency=USD","Period=FQ","BEST_FPERIOD_OVERRIDE=FQ","FILING_STATUS=OR","FA_ADJUSTED=GAAP","Sort=A","Dates=H","DateFormat=P","Fill=—","Direction=H","UseDPDF=Y")</f>
        <v>15.504</v>
      </c>
      <c r="AA43" s="14">
        <f>_xll.BDH("XOM US Equity","EBITDA_MARGIN","FQ3 2004","FQ3 2004","Currency=USD","Period=FQ","BEST_FPERIOD_OVERRIDE=FQ","FILING_STATUS=OR","FA_ADJUSTED=GAAP","Sort=A","Dates=H","DateFormat=P","Fill=—","Direction=H","UseDPDF=Y")</f>
        <v>16.137799999999999</v>
      </c>
      <c r="AB43" s="14">
        <f>_xll.BDH("XOM US Equity","EBITDA_MARGIN","FQ4 2004","FQ4 2004","Currency=USD","Period=FQ","BEST_FPERIOD_OVERRIDE=FQ","FILING_STATUS=OR","FA_ADJUSTED=GAAP","Sort=A","Dates=H","DateFormat=P","Fill=—","Direction=H","UseDPDF=Y")</f>
        <v>17.2882</v>
      </c>
      <c r="AC43" s="14">
        <f>_xll.BDH("XOM US Equity","EBITDA_MARGIN","FQ1 2005","FQ1 2005","Currency=USD","Period=FQ","BEST_FPERIOD_OVERRIDE=FQ","FILING_STATUS=OR","FA_ADJUSTED=GAAP","Sort=A","Dates=H","DateFormat=P","Fill=—","Direction=H","UseDPDF=Y")</f>
        <v>17.598800000000001</v>
      </c>
      <c r="AD43" s="14">
        <f>_xll.BDH("XOM US Equity","EBITDA_MARGIN","FQ2 2005","FQ2 2005","Currency=USD","Period=FQ","BEST_FPERIOD_OVERRIDE=FQ","FILING_STATUS=OR","FA_ADJUSTED=GAAP","Sort=A","Dates=H","DateFormat=P","Fill=—","Direction=H","UseDPDF=Y")</f>
        <v>17.713699999999999</v>
      </c>
      <c r="AE43" s="14">
        <f>_xll.BDH("XOM US Equity","EBITDA_MARGIN","FQ3 2005","FQ3 2005","Currency=USD","Period=FQ","BEST_FPERIOD_OVERRIDE=FQ","FILING_STATUS=OR","FA_ADJUSTED=GAAP","Sort=A","Dates=H","DateFormat=P","Fill=—","Direction=H","UseDPDF=Y")</f>
        <v>17.728400000000001</v>
      </c>
      <c r="AF43" s="14">
        <f>_xll.BDH("XOM US Equity","EBITDA_MARGIN","FQ4 2005","FQ4 2005","Currency=USD","Period=FQ","BEST_FPERIOD_OVERRIDE=FQ","FILING_STATUS=OR","FA_ADJUSTED=GAAP","Sort=A","Dates=H","DateFormat=P","Fill=—","Direction=H","UseDPDF=Y")</f>
        <v>18.053799999999999</v>
      </c>
      <c r="AG43" s="14">
        <f>_xll.BDH("XOM US Equity","EBITDA_MARGIN","FQ1 2006","FQ1 2006","Currency=USD","Period=FQ","BEST_FPERIOD_OVERRIDE=FQ","FILING_STATUS=OR","FA_ADJUSTED=GAAP","Sort=A","Dates=H","DateFormat=P","Fill=—","Direction=H","UseDPDF=Y")</f>
        <v>18.531300000000002</v>
      </c>
      <c r="AH43" s="14">
        <f>_xll.BDH("XOM US Equity","EBITDA_MARGIN","FQ2 2006","FQ2 2006","Currency=USD","Period=FQ","BEST_FPERIOD_OVERRIDE=FQ","FILING_STATUS=OR","FA_ADJUSTED=GAAP","Sort=A","Dates=H","DateFormat=P","Fill=—","Direction=H","UseDPDF=Y")</f>
        <v>19.3843</v>
      </c>
      <c r="AI43" s="14">
        <f>_xll.BDH("XOM US Equity","EBITDA_MARGIN","FQ3 2006","FQ3 2006","Currency=USD","Period=FQ","BEST_FPERIOD_OVERRIDE=FQ","FILING_STATUS=OR","FA_ADJUSTED=GAAP","Sort=A","Dates=H","DateFormat=P","Fill=—","Direction=H","UseDPDF=Y")</f>
        <v>20.3581</v>
      </c>
      <c r="AJ43" s="14">
        <f>_xll.BDH("XOM US Equity","EBITDA_MARGIN","FQ4 2006","FQ4 2006","Currency=USD","Period=FQ","BEST_FPERIOD_OVERRIDE=FQ","FILING_STATUS=OR","FA_ADJUSTED=GAAP","Sort=A","Dates=H","DateFormat=P","Fill=—","Direction=H","UseDPDF=Y")</f>
        <v>20.3992</v>
      </c>
      <c r="AK43" s="14">
        <f>_xll.BDH("XOM US Equity","EBITDA_MARGIN","FQ1 2007","FQ1 2007","Currency=USD","Period=FQ","BEST_FPERIOD_OVERRIDE=FQ","FILING_STATUS=OR","FA_ADJUSTED=GAAP","Sort=A","Dates=H","DateFormat=P","Fill=—","Direction=H","UseDPDF=Y")</f>
        <v>20.664000000000001</v>
      </c>
      <c r="AL43" s="14">
        <f>_xll.BDH("XOM US Equity","EBITDA_MARGIN","FQ2 2007","FQ2 2007","Currency=USD","Period=FQ","BEST_FPERIOD_OVERRIDE=FQ","FILING_STATUS=OR","FA_ADJUSTED=GAAP","Sort=A","Dates=H","DateFormat=P","Fill=—","Direction=H","UseDPDF=Y")</f>
        <v>20.5792</v>
      </c>
      <c r="AM43" s="14">
        <f>_xll.BDH("XOM US Equity","EBITDA_MARGIN","FQ3 2007","FQ3 2007","Currency=USD","Period=FQ","BEST_FPERIOD_OVERRIDE=FQ","FILING_STATUS=OR","FA_ADJUSTED=GAAP","Sort=A","Dates=H","DateFormat=P","Fill=—","Direction=H","UseDPDF=Y")</f>
        <v>20.092099999999999</v>
      </c>
      <c r="AN43" s="14">
        <f>_xll.BDH("XOM US Equity","EBITDA_MARGIN","FQ4 2007","FQ4 2007","Currency=USD","Period=FQ","BEST_FPERIOD_OVERRIDE=FQ","FILING_STATUS=OR","FA_ADJUSTED=GAAP","Sort=A","Dates=H","DateFormat=P","Fill=—","Direction=H","UseDPDF=Y")</f>
        <v>19.4939</v>
      </c>
      <c r="AO43" s="14">
        <f>_xll.BDH("XOM US Equity","EBITDA_MARGIN","FQ1 2008","FQ1 2008","Currency=USD","Period=FQ","BEST_FPERIOD_OVERRIDE=FQ","FILING_STATUS=OR","FA_ADJUSTED=GAAP","Sort=A","Dates=H","DateFormat=P","Fill=—","Direction=H","UseDPDF=Y")</f>
        <v>19.273900000000001</v>
      </c>
      <c r="AP43" s="14">
        <f>_xll.BDH("XOM US Equity","EBITDA_MARGIN","FQ2 2008","FQ2 2008","Currency=USD","Period=FQ","BEST_FPERIOD_OVERRIDE=FQ","FILING_STATUS=OR","FA_ADJUSTED=GAAP","Sort=A","Dates=H","DateFormat=P","Fill=—","Direction=H","UseDPDF=Y")</f>
        <v>18.397400000000001</v>
      </c>
    </row>
    <row r="44" spans="1:42" x14ac:dyDescent="0.25">
      <c r="A44" s="10" t="s">
        <v>338</v>
      </c>
      <c r="B44" s="10" t="s">
        <v>339</v>
      </c>
      <c r="C44" s="13" t="str">
        <f>_xll.BDH("XOM US Equity","CF_NET_CASH_PAID_FOR_AQUIS","FQ3 1998","FQ3 1998","Currency=USD","Period=FQ","BEST_FPERIOD_OVERRIDE=FQ","FILING_STATUS=OR","SCALING_FORMAT=MLN","Sort=A","Dates=H","DateFormat=P","Fill=—","Direction=H","UseDPDF=Y")</f>
        <v>—</v>
      </c>
      <c r="D44" s="13" t="str">
        <f>_xll.BDH("XOM US Equity","CF_NET_CASH_PAID_FOR_AQUIS","FQ4 1998","FQ4 1998","Currency=USD","Period=FQ","BEST_FPERIOD_OVERRIDE=FQ","FILING_STATUS=OR","SCALING_FORMAT=MLN","Sort=A","Dates=H","DateFormat=P","Fill=—","Direction=H","UseDPDF=Y")</f>
        <v>—</v>
      </c>
      <c r="E44" s="13" t="str">
        <f>_xll.BDH("XOM US Equity","CF_NET_CASH_PAID_FOR_AQUIS","FQ1 1999","FQ1 1999","Currency=USD","Period=FQ","BEST_FPERIOD_OVERRIDE=FQ","FILING_STATUS=OR","SCALING_FORMAT=MLN","Sort=A","Dates=H","DateFormat=P","Fill=—","Direction=H","UseDPDF=Y")</f>
        <v>—</v>
      </c>
      <c r="F44" s="13" t="str">
        <f>_xll.BDH("XOM US Equity","CF_NET_CASH_PAID_FOR_AQUIS","FQ2 1999","FQ2 1999","Currency=USD","Period=FQ","BEST_FPERIOD_OVERRIDE=FQ","FILING_STATUS=OR","SCALING_FORMAT=MLN","Sort=A","Dates=H","DateFormat=P","Fill=—","Direction=H","UseDPDF=Y")</f>
        <v>—</v>
      </c>
      <c r="G44" s="13" t="str">
        <f>_xll.BDH("XOM US Equity","CF_NET_CASH_PAID_FOR_AQUIS","FQ3 1999","FQ3 1999","Currency=USD","Period=FQ","BEST_FPERIOD_OVERRIDE=FQ","FILING_STATUS=OR","SCALING_FORMAT=MLN","Sort=A","Dates=H","DateFormat=P","Fill=—","Direction=H","UseDPDF=Y")</f>
        <v>—</v>
      </c>
      <c r="H44" s="13" t="str">
        <f>_xll.BDH("XOM US Equity","CF_NET_CASH_PAID_FOR_AQUIS","FQ4 1999","FQ4 1999","Currency=USD","Period=FQ","BEST_FPERIOD_OVERRIDE=FQ","FILING_STATUS=OR","SCALING_FORMAT=MLN","Sort=A","Dates=H","DateFormat=P","Fill=—","Direction=H","UseDPDF=Y")</f>
        <v>—</v>
      </c>
      <c r="I44" s="13" t="str">
        <f>_xll.BDH("XOM US Equity","CF_NET_CASH_PAID_FOR_AQUIS","FQ1 2000","FQ1 2000","Currency=USD","Period=FQ","BEST_FPERIOD_OVERRIDE=FQ","FILING_STATUS=OR","SCALING_FORMAT=MLN","Sort=A","Dates=H","DateFormat=P","Fill=—","Direction=H","UseDPDF=Y")</f>
        <v>—</v>
      </c>
      <c r="J44" s="13" t="str">
        <f>_xll.BDH("XOM US Equity","CF_NET_CASH_PAID_FOR_AQUIS","FQ2 2000","FQ2 2000","Currency=USD","Period=FQ","BEST_FPERIOD_OVERRIDE=FQ","FILING_STATUS=OR","SCALING_FORMAT=MLN","Sort=A","Dates=H","DateFormat=P","Fill=—","Direction=H","UseDPDF=Y")</f>
        <v>—</v>
      </c>
      <c r="K44" s="13" t="str">
        <f>_xll.BDH("XOM US Equity","CF_NET_CASH_PAID_FOR_AQUIS","FQ3 2000","FQ3 2000","Currency=USD","Period=FQ","BEST_FPERIOD_OVERRIDE=FQ","FILING_STATUS=OR","SCALING_FORMAT=MLN","Sort=A","Dates=H","DateFormat=P","Fill=—","Direction=H","UseDPDF=Y")</f>
        <v>—</v>
      </c>
      <c r="L44" s="13" t="str">
        <f>_xll.BDH("XOM US Equity","CF_NET_CASH_PAID_FOR_AQUIS","FQ4 2000","FQ4 2000","Currency=USD","Period=FQ","BEST_FPERIOD_OVERRIDE=FQ","FILING_STATUS=OR","SCALING_FORMAT=MLN","Sort=A","Dates=H","DateFormat=P","Fill=—","Direction=H","UseDPDF=Y")</f>
        <v>—</v>
      </c>
      <c r="M44" s="13" t="str">
        <f>_xll.BDH("XOM US Equity","CF_NET_CASH_PAID_FOR_AQUIS","FQ1 2001","FQ1 2001","Currency=USD","Period=FQ","BEST_FPERIOD_OVERRIDE=FQ","FILING_STATUS=OR","SCALING_FORMAT=MLN","Sort=A","Dates=H","DateFormat=P","Fill=—","Direction=H","UseDPDF=Y")</f>
        <v>—</v>
      </c>
      <c r="N44" s="13" t="str">
        <f>_xll.BDH("XOM US Equity","CF_NET_CASH_PAID_FOR_AQUIS","FQ2 2001","FQ2 2001","Currency=USD","Period=FQ","BEST_FPERIOD_OVERRIDE=FQ","FILING_STATUS=OR","SCALING_FORMAT=MLN","Sort=A","Dates=H","DateFormat=P","Fill=—","Direction=H","UseDPDF=Y")</f>
        <v>—</v>
      </c>
      <c r="O44" s="13" t="str">
        <f>_xll.BDH("XOM US Equity","CF_NET_CASH_PAID_FOR_AQUIS","FQ3 2001","FQ3 2001","Currency=USD","Period=FQ","BEST_FPERIOD_OVERRIDE=FQ","FILING_STATUS=OR","SCALING_FORMAT=MLN","Sort=A","Dates=H","DateFormat=P","Fill=—","Direction=H","UseDPDF=Y")</f>
        <v>—</v>
      </c>
      <c r="P44" s="13" t="str">
        <f>_xll.BDH("XOM US Equity","CF_NET_CASH_PAID_FOR_AQUIS","FQ4 2001","FQ4 2001","Currency=USD","Period=FQ","BEST_FPERIOD_OVERRIDE=FQ","FILING_STATUS=OR","SCALING_FORMAT=MLN","Sort=A","Dates=H","DateFormat=P","Fill=—","Direction=H","UseDPDF=Y")</f>
        <v>—</v>
      </c>
      <c r="Q44" s="13">
        <f>_xll.BDH("XOM US Equity","CF_NET_CASH_PAID_FOR_AQUIS","FQ1 2002","FQ1 2002","Currency=USD","Period=FQ","BEST_FPERIOD_OVERRIDE=FQ","FILING_STATUS=OR","SCALING_FORMAT=MLN","Sort=A","Dates=H","DateFormat=P","Fill=—","Direction=H","UseDPDF=Y")</f>
        <v>0</v>
      </c>
      <c r="R44" s="13">
        <f>_xll.BDH("XOM US Equity","CF_NET_CASH_PAID_FOR_AQUIS","FQ2 2002","FQ2 2002","Currency=USD","Period=FQ","BEST_FPERIOD_OVERRIDE=FQ","FILING_STATUS=OR","SCALING_FORMAT=MLN","Sort=A","Dates=H","DateFormat=P","Fill=—","Direction=H","UseDPDF=Y")</f>
        <v>0</v>
      </c>
      <c r="S44" s="13">
        <f>_xll.BDH("XOM US Equity","CF_NET_CASH_PAID_FOR_AQUIS","FQ3 2002","FQ3 2002","Currency=USD","Period=FQ","BEST_FPERIOD_OVERRIDE=FQ","FILING_STATUS=OR","SCALING_FORMAT=MLN","Sort=A","Dates=H","DateFormat=P","Fill=—","Direction=H","UseDPDF=Y")</f>
        <v>0</v>
      </c>
      <c r="T44" s="13">
        <f>_xll.BDH("XOM US Equity","CF_NET_CASH_PAID_FOR_AQUIS","FQ4 2002","FQ4 2002","Currency=USD","Period=FQ","BEST_FPERIOD_OVERRIDE=FQ","FILING_STATUS=OR","SCALING_FORMAT=MLN","Sort=A","Dates=H","DateFormat=P","Fill=—","Direction=H","UseDPDF=Y")</f>
        <v>0</v>
      </c>
      <c r="U44" s="13">
        <f>_xll.BDH("XOM US Equity","CF_NET_CASH_PAID_FOR_AQUIS","FQ1 2003","FQ1 2003","Currency=USD","Period=FQ","BEST_FPERIOD_OVERRIDE=FQ","FILING_STATUS=OR","SCALING_FORMAT=MLN","Sort=A","Dates=H","DateFormat=P","Fill=—","Direction=H","UseDPDF=Y")</f>
        <v>0</v>
      </c>
      <c r="V44" s="13">
        <f>_xll.BDH("XOM US Equity","CF_NET_CASH_PAID_FOR_AQUIS","FQ2 2003","FQ2 2003","Currency=USD","Period=FQ","BEST_FPERIOD_OVERRIDE=FQ","FILING_STATUS=OR","SCALING_FORMAT=MLN","Sort=A","Dates=H","DateFormat=P","Fill=—","Direction=H","UseDPDF=Y")</f>
        <v>0</v>
      </c>
      <c r="W44" s="13">
        <f>_xll.BDH("XOM US Equity","CF_NET_CASH_PAID_FOR_AQUIS","FQ3 2003","FQ3 2003","Currency=USD","Period=FQ","BEST_FPERIOD_OVERRIDE=FQ","FILING_STATUS=OR","SCALING_FORMAT=MLN","Sort=A","Dates=H","DateFormat=P","Fill=—","Direction=H","UseDPDF=Y")</f>
        <v>0</v>
      </c>
      <c r="X44" s="13">
        <f>_xll.BDH("XOM US Equity","CF_NET_CASH_PAID_FOR_AQUIS","FQ4 2003","FQ4 2003","Currency=USD","Period=FQ","BEST_FPERIOD_OVERRIDE=FQ","FILING_STATUS=OR","SCALING_FORMAT=MLN","Sort=A","Dates=H","DateFormat=P","Fill=—","Direction=H","UseDPDF=Y")</f>
        <v>0</v>
      </c>
      <c r="Y44" s="13">
        <f>_xll.BDH("XOM US Equity","CF_NET_CASH_PAID_FOR_AQUIS","FQ1 2004","FQ1 2004","Currency=USD","Period=FQ","BEST_FPERIOD_OVERRIDE=FQ","FILING_STATUS=OR","SCALING_FORMAT=MLN","Sort=A","Dates=H","DateFormat=P","Fill=—","Direction=H","UseDPDF=Y")</f>
        <v>0</v>
      </c>
      <c r="Z44" s="13">
        <f>_xll.BDH("XOM US Equity","CF_NET_CASH_PAID_FOR_AQUIS","FQ2 2004","FQ2 2004","Currency=USD","Period=FQ","BEST_FPERIOD_OVERRIDE=FQ","FILING_STATUS=OR","SCALING_FORMAT=MLN","Sort=A","Dates=H","DateFormat=P","Fill=—","Direction=H","UseDPDF=Y")</f>
        <v>0</v>
      </c>
      <c r="AA44" s="13">
        <f>_xll.BDH("XOM US Equity","CF_NET_CASH_PAID_FOR_AQUIS","FQ3 2004","FQ3 2004","Currency=USD","Period=FQ","BEST_FPERIOD_OVERRIDE=FQ","FILING_STATUS=OR","SCALING_FORMAT=MLN","Sort=A","Dates=H","DateFormat=P","Fill=—","Direction=H","UseDPDF=Y")</f>
        <v>0</v>
      </c>
      <c r="AB44" s="13">
        <f>_xll.BDH("XOM US Equity","CF_NET_CASH_PAID_FOR_AQUIS","FQ4 2004","FQ4 2004","Currency=USD","Period=FQ","BEST_FPERIOD_OVERRIDE=FQ","FILING_STATUS=OR","SCALING_FORMAT=MLN","Sort=A","Dates=H","DateFormat=P","Fill=—","Direction=H","UseDPDF=Y")</f>
        <v>0</v>
      </c>
      <c r="AC44" s="13">
        <f>_xll.BDH("XOM US Equity","CF_NET_CASH_PAID_FOR_AQUIS","FQ1 2005","FQ1 2005","Currency=USD","Period=FQ","BEST_FPERIOD_OVERRIDE=FQ","FILING_STATUS=OR","SCALING_FORMAT=MLN","Sort=A","Dates=H","DateFormat=P","Fill=—","Direction=H","UseDPDF=Y")</f>
        <v>0</v>
      </c>
      <c r="AD44" s="13">
        <f>_xll.BDH("XOM US Equity","CF_NET_CASH_PAID_FOR_AQUIS","FQ2 2005","FQ2 2005","Currency=USD","Period=FQ","BEST_FPERIOD_OVERRIDE=FQ","FILING_STATUS=OR","SCALING_FORMAT=MLN","Sort=A","Dates=H","DateFormat=P","Fill=—","Direction=H","UseDPDF=Y")</f>
        <v>0</v>
      </c>
      <c r="AE44" s="13">
        <f>_xll.BDH("XOM US Equity","CF_NET_CASH_PAID_FOR_AQUIS","FQ3 2005","FQ3 2005","Currency=USD","Period=FQ","BEST_FPERIOD_OVERRIDE=FQ","FILING_STATUS=OR","SCALING_FORMAT=MLN","Sort=A","Dates=H","DateFormat=P","Fill=—","Direction=H","UseDPDF=Y")</f>
        <v>0</v>
      </c>
      <c r="AF44" s="13" t="str">
        <f>_xll.BDH("XOM US Equity","CF_NET_CASH_PAID_FOR_AQUIS","FQ4 2005","FQ4 2005","Currency=USD","Period=FQ","BEST_FPERIOD_OVERRIDE=FQ","FILING_STATUS=OR","SCALING_FORMAT=MLN","Sort=A","Dates=H","DateFormat=P","Fill=—","Direction=H","UseDPDF=Y")</f>
        <v>—</v>
      </c>
      <c r="AG44" s="13" t="str">
        <f>_xll.BDH("XOM US Equity","CF_NET_CASH_PAID_FOR_AQUIS","FQ1 2006","FQ1 2006","Currency=USD","Period=FQ","BEST_FPERIOD_OVERRIDE=FQ","FILING_STATUS=OR","SCALING_FORMAT=MLN","Sort=A","Dates=H","DateFormat=P","Fill=—","Direction=H","UseDPDF=Y")</f>
        <v>—</v>
      </c>
      <c r="AH44" s="13" t="str">
        <f>_xll.BDH("XOM US Equity","CF_NET_CASH_PAID_FOR_AQUIS","FQ2 2006","FQ2 2006","Currency=USD","Period=FQ","BEST_FPERIOD_OVERRIDE=FQ","FILING_STATUS=OR","SCALING_FORMAT=MLN","Sort=A","Dates=H","DateFormat=P","Fill=—","Direction=H","UseDPDF=Y")</f>
        <v>—</v>
      </c>
      <c r="AI44" s="13" t="str">
        <f>_xll.BDH("XOM US Equity","CF_NET_CASH_PAID_FOR_AQUIS","FQ3 2006","FQ3 2006","Currency=USD","Period=FQ","BEST_FPERIOD_OVERRIDE=FQ","FILING_STATUS=OR","SCALING_FORMAT=MLN","Sort=A","Dates=H","DateFormat=P","Fill=—","Direction=H","UseDPDF=Y")</f>
        <v>—</v>
      </c>
      <c r="AJ44" s="13" t="str">
        <f>_xll.BDH("XOM US Equity","CF_NET_CASH_PAID_FOR_AQUIS","FQ4 2006","FQ4 2006","Currency=USD","Period=FQ","BEST_FPERIOD_OVERRIDE=FQ","FILING_STATUS=OR","SCALING_FORMAT=MLN","Sort=A","Dates=H","DateFormat=P","Fill=—","Direction=H","UseDPDF=Y")</f>
        <v>—</v>
      </c>
      <c r="AK44" s="13" t="str">
        <f>_xll.BDH("XOM US Equity","CF_NET_CASH_PAID_FOR_AQUIS","FQ1 2007","FQ1 2007","Currency=USD","Period=FQ","BEST_FPERIOD_OVERRIDE=FQ","FILING_STATUS=OR","SCALING_FORMAT=MLN","Sort=A","Dates=H","DateFormat=P","Fill=—","Direction=H","UseDPDF=Y")</f>
        <v>—</v>
      </c>
      <c r="AL44" s="13" t="str">
        <f>_xll.BDH("XOM US Equity","CF_NET_CASH_PAID_FOR_AQUIS","FQ2 2007","FQ2 2007","Currency=USD","Period=FQ","BEST_FPERIOD_OVERRIDE=FQ","FILING_STATUS=OR","SCALING_FORMAT=MLN","Sort=A","Dates=H","DateFormat=P","Fill=—","Direction=H","UseDPDF=Y")</f>
        <v>—</v>
      </c>
      <c r="AM44" s="13" t="str">
        <f>_xll.BDH("XOM US Equity","CF_NET_CASH_PAID_FOR_AQUIS","FQ3 2007","FQ3 2007","Currency=USD","Period=FQ","BEST_FPERIOD_OVERRIDE=FQ","FILING_STATUS=OR","SCALING_FORMAT=MLN","Sort=A","Dates=H","DateFormat=P","Fill=—","Direction=H","UseDPDF=Y")</f>
        <v>—</v>
      </c>
      <c r="AN44" s="13" t="str">
        <f>_xll.BDH("XOM US Equity","CF_NET_CASH_PAID_FOR_AQUIS","FQ4 2007","FQ4 2007","Currency=USD","Period=FQ","BEST_FPERIOD_OVERRIDE=FQ","FILING_STATUS=OR","SCALING_FORMAT=MLN","Sort=A","Dates=H","DateFormat=P","Fill=—","Direction=H","UseDPDF=Y")</f>
        <v>—</v>
      </c>
      <c r="AO44" s="13" t="str">
        <f>_xll.BDH("XOM US Equity","CF_NET_CASH_PAID_FOR_AQUIS","FQ1 2008","FQ1 2008","Currency=USD","Period=FQ","BEST_FPERIOD_OVERRIDE=FQ","FILING_STATUS=OR","SCALING_FORMAT=MLN","Sort=A","Dates=H","DateFormat=P","Fill=—","Direction=H","UseDPDF=Y")</f>
        <v>—</v>
      </c>
      <c r="AP44" s="13" t="str">
        <f>_xll.BDH("XOM US Equity","CF_NET_CASH_PAID_FOR_AQUIS","FQ2 2008","FQ2 2008","Currency=USD","Period=FQ","BEST_FPERIOD_OVERRIDE=FQ","FILING_STATUS=OR","SCALING_FORMAT=MLN","Sort=A","Dates=H","DateFormat=P","Fill=—","Direction=H","UseDPDF=Y")</f>
        <v>—</v>
      </c>
    </row>
    <row r="45" spans="1:42" x14ac:dyDescent="0.25">
      <c r="A45" s="10" t="s">
        <v>340</v>
      </c>
      <c r="B45" s="10" t="s">
        <v>341</v>
      </c>
      <c r="C45" s="13" t="str">
        <f>_xll.BDH("XOM US Equity","CF_TAX_BENEFIT_FRM_STOCK_OPTIONS","FQ3 1998","FQ3 1998","Currency=USD","Period=FQ","BEST_FPERIOD_OVERRIDE=FQ","FILING_STATUS=OR","SCALING_FORMAT=MLN","Sort=A","Dates=H","DateFormat=P","Fill=—","Direction=H","UseDPDF=Y")</f>
        <v>—</v>
      </c>
      <c r="D45" s="13" t="str">
        <f>_xll.BDH("XOM US Equity","CF_TAX_BENEFIT_FRM_STOCK_OPTIONS","FQ4 1998","FQ4 1998","Currency=USD","Period=FQ","BEST_FPERIOD_OVERRIDE=FQ","FILING_STATUS=OR","SCALING_FORMAT=MLN","Sort=A","Dates=H","DateFormat=P","Fill=—","Direction=H","UseDPDF=Y")</f>
        <v>—</v>
      </c>
      <c r="E45" s="13" t="str">
        <f>_xll.BDH("XOM US Equity","CF_TAX_BENEFIT_FRM_STOCK_OPTIONS","FQ1 1999","FQ1 1999","Currency=USD","Period=FQ","BEST_FPERIOD_OVERRIDE=FQ","FILING_STATUS=OR","SCALING_FORMAT=MLN","Sort=A","Dates=H","DateFormat=P","Fill=—","Direction=H","UseDPDF=Y")</f>
        <v>—</v>
      </c>
      <c r="F45" s="13" t="str">
        <f>_xll.BDH("XOM US Equity","CF_TAX_BENEFIT_FRM_STOCK_OPTIONS","FQ2 1999","FQ2 1999","Currency=USD","Period=FQ","BEST_FPERIOD_OVERRIDE=FQ","FILING_STATUS=OR","SCALING_FORMAT=MLN","Sort=A","Dates=H","DateFormat=P","Fill=—","Direction=H","UseDPDF=Y")</f>
        <v>—</v>
      </c>
      <c r="G45" s="13" t="str">
        <f>_xll.BDH("XOM US Equity","CF_TAX_BENEFIT_FRM_STOCK_OPTIONS","FQ3 1999","FQ3 1999","Currency=USD","Period=FQ","BEST_FPERIOD_OVERRIDE=FQ","FILING_STATUS=OR","SCALING_FORMAT=MLN","Sort=A","Dates=H","DateFormat=P","Fill=—","Direction=H","UseDPDF=Y")</f>
        <v>—</v>
      </c>
      <c r="H45" s="13" t="str">
        <f>_xll.BDH("XOM US Equity","CF_TAX_BENEFIT_FRM_STOCK_OPTIONS","FQ4 1999","FQ4 1999","Currency=USD","Period=FQ","BEST_FPERIOD_OVERRIDE=FQ","FILING_STATUS=OR","SCALING_FORMAT=MLN","Sort=A","Dates=H","DateFormat=P","Fill=—","Direction=H","UseDPDF=Y")</f>
        <v>—</v>
      </c>
      <c r="I45" s="13" t="str">
        <f>_xll.BDH("XOM US Equity","CF_TAX_BENEFIT_FRM_STOCK_OPTIONS","FQ1 2000","FQ1 2000","Currency=USD","Period=FQ","BEST_FPERIOD_OVERRIDE=FQ","FILING_STATUS=OR","SCALING_FORMAT=MLN","Sort=A","Dates=H","DateFormat=P","Fill=—","Direction=H","UseDPDF=Y")</f>
        <v>—</v>
      </c>
      <c r="J45" s="13" t="str">
        <f>_xll.BDH("XOM US Equity","CF_TAX_BENEFIT_FRM_STOCK_OPTIONS","FQ2 2000","FQ2 2000","Currency=USD","Period=FQ","BEST_FPERIOD_OVERRIDE=FQ","FILING_STATUS=OR","SCALING_FORMAT=MLN","Sort=A","Dates=H","DateFormat=P","Fill=—","Direction=H","UseDPDF=Y")</f>
        <v>—</v>
      </c>
      <c r="K45" s="13" t="str">
        <f>_xll.BDH("XOM US Equity","CF_TAX_BENEFIT_FRM_STOCK_OPTIONS","FQ3 2000","FQ3 2000","Currency=USD","Period=FQ","BEST_FPERIOD_OVERRIDE=FQ","FILING_STATUS=OR","SCALING_FORMAT=MLN","Sort=A","Dates=H","DateFormat=P","Fill=—","Direction=H","UseDPDF=Y")</f>
        <v>—</v>
      </c>
      <c r="L45" s="13" t="str">
        <f>_xll.BDH("XOM US Equity","CF_TAX_BENEFIT_FRM_STOCK_OPTIONS","FQ4 2000","FQ4 2000","Currency=USD","Period=FQ","BEST_FPERIOD_OVERRIDE=FQ","FILING_STATUS=OR","SCALING_FORMAT=MLN","Sort=A","Dates=H","DateFormat=P","Fill=—","Direction=H","UseDPDF=Y")</f>
        <v>—</v>
      </c>
      <c r="M45" s="13" t="str">
        <f>_xll.BDH("XOM US Equity","CF_TAX_BENEFIT_FRM_STOCK_OPTIONS","FQ1 2001","FQ1 2001","Currency=USD","Period=FQ","BEST_FPERIOD_OVERRIDE=FQ","FILING_STATUS=OR","SCALING_FORMAT=MLN","Sort=A","Dates=H","DateFormat=P","Fill=—","Direction=H","UseDPDF=Y")</f>
        <v>—</v>
      </c>
      <c r="N45" s="13" t="str">
        <f>_xll.BDH("XOM US Equity","CF_TAX_BENEFIT_FRM_STOCK_OPTIONS","FQ2 2001","FQ2 2001","Currency=USD","Period=FQ","BEST_FPERIOD_OVERRIDE=FQ","FILING_STATUS=OR","SCALING_FORMAT=MLN","Sort=A","Dates=H","DateFormat=P","Fill=—","Direction=H","UseDPDF=Y")</f>
        <v>—</v>
      </c>
      <c r="O45" s="13" t="str">
        <f>_xll.BDH("XOM US Equity","CF_TAX_BENEFIT_FRM_STOCK_OPTIONS","FQ3 2001","FQ3 2001","Currency=USD","Period=FQ","BEST_FPERIOD_OVERRIDE=FQ","FILING_STATUS=OR","SCALING_FORMAT=MLN","Sort=A","Dates=H","DateFormat=P","Fill=—","Direction=H","UseDPDF=Y")</f>
        <v>—</v>
      </c>
      <c r="P45" s="13" t="str">
        <f>_xll.BDH("XOM US Equity","CF_TAX_BENEFIT_FRM_STOCK_OPTIONS","FQ4 2001","FQ4 2001","Currency=USD","Period=FQ","BEST_FPERIOD_OVERRIDE=FQ","FILING_STATUS=OR","SCALING_FORMAT=MLN","Sort=A","Dates=H","DateFormat=P","Fill=—","Direction=H","UseDPDF=Y")</f>
        <v>—</v>
      </c>
      <c r="Q45" s="13" t="str">
        <f>_xll.BDH("XOM US Equity","CF_TAX_BENEFIT_FRM_STOCK_OPTIONS","FQ1 2002","FQ1 2002","Currency=USD","Period=FQ","BEST_FPERIOD_OVERRIDE=FQ","FILING_STATUS=OR","SCALING_FORMAT=MLN","Sort=A","Dates=H","DateFormat=P","Fill=—","Direction=H","UseDPDF=Y")</f>
        <v>—</v>
      </c>
      <c r="R45" s="13" t="str">
        <f>_xll.BDH("XOM US Equity","CF_TAX_BENEFIT_FRM_STOCK_OPTIONS","FQ2 2002","FQ2 2002","Currency=USD","Period=FQ","BEST_FPERIOD_OVERRIDE=FQ","FILING_STATUS=OR","SCALING_FORMAT=MLN","Sort=A","Dates=H","DateFormat=P","Fill=—","Direction=H","UseDPDF=Y")</f>
        <v>—</v>
      </c>
      <c r="S45" s="13" t="str">
        <f>_xll.BDH("XOM US Equity","CF_TAX_BENEFIT_FRM_STOCK_OPTIONS","FQ3 2002","FQ3 2002","Currency=USD","Period=FQ","BEST_FPERIOD_OVERRIDE=FQ","FILING_STATUS=OR","SCALING_FORMAT=MLN","Sort=A","Dates=H","DateFormat=P","Fill=—","Direction=H","UseDPDF=Y")</f>
        <v>—</v>
      </c>
      <c r="T45" s="13" t="str">
        <f>_xll.BDH("XOM US Equity","CF_TAX_BENEFIT_FRM_STOCK_OPTIONS","FQ4 2002","FQ4 2002","Currency=USD","Period=FQ","BEST_FPERIOD_OVERRIDE=FQ","FILING_STATUS=OR","SCALING_FORMAT=MLN","Sort=A","Dates=H","DateFormat=P","Fill=—","Direction=H","UseDPDF=Y")</f>
        <v>—</v>
      </c>
      <c r="U45" s="13" t="str">
        <f>_xll.BDH("XOM US Equity","CF_TAX_BENEFIT_FRM_STOCK_OPTIONS","FQ1 2003","FQ1 2003","Currency=USD","Period=FQ","BEST_FPERIOD_OVERRIDE=FQ","FILING_STATUS=OR","SCALING_FORMAT=MLN","Sort=A","Dates=H","DateFormat=P","Fill=—","Direction=H","UseDPDF=Y")</f>
        <v>—</v>
      </c>
      <c r="V45" s="13" t="str">
        <f>_xll.BDH("XOM US Equity","CF_TAX_BENEFIT_FRM_STOCK_OPTIONS","FQ2 2003","FQ2 2003","Currency=USD","Period=FQ","BEST_FPERIOD_OVERRIDE=FQ","FILING_STATUS=OR","SCALING_FORMAT=MLN","Sort=A","Dates=H","DateFormat=P","Fill=—","Direction=H","UseDPDF=Y")</f>
        <v>—</v>
      </c>
      <c r="W45" s="13" t="str">
        <f>_xll.BDH("XOM US Equity","CF_TAX_BENEFIT_FRM_STOCK_OPTIONS","FQ3 2003","FQ3 2003","Currency=USD","Period=FQ","BEST_FPERIOD_OVERRIDE=FQ","FILING_STATUS=OR","SCALING_FORMAT=MLN","Sort=A","Dates=H","DateFormat=P","Fill=—","Direction=H","UseDPDF=Y")</f>
        <v>—</v>
      </c>
      <c r="X45" s="13" t="str">
        <f>_xll.BDH("XOM US Equity","CF_TAX_BENEFIT_FRM_STOCK_OPTIONS","FQ4 2003","FQ4 2003","Currency=USD","Period=FQ","BEST_FPERIOD_OVERRIDE=FQ","FILING_STATUS=OR","SCALING_FORMAT=MLN","Sort=A","Dates=H","DateFormat=P","Fill=—","Direction=H","UseDPDF=Y")</f>
        <v>—</v>
      </c>
      <c r="Y45" s="13" t="str">
        <f>_xll.BDH("XOM US Equity","CF_TAX_BENEFIT_FRM_STOCK_OPTIONS","FQ1 2004","FQ1 2004","Currency=USD","Period=FQ","BEST_FPERIOD_OVERRIDE=FQ","FILING_STATUS=OR","SCALING_FORMAT=MLN","Sort=A","Dates=H","DateFormat=P","Fill=—","Direction=H","UseDPDF=Y")</f>
        <v>—</v>
      </c>
      <c r="Z45" s="13" t="str">
        <f>_xll.BDH("XOM US Equity","CF_TAX_BENEFIT_FRM_STOCK_OPTIONS","FQ2 2004","FQ2 2004","Currency=USD","Period=FQ","BEST_FPERIOD_OVERRIDE=FQ","FILING_STATUS=OR","SCALING_FORMAT=MLN","Sort=A","Dates=H","DateFormat=P","Fill=—","Direction=H","UseDPDF=Y")</f>
        <v>—</v>
      </c>
      <c r="AA45" s="13" t="str">
        <f>_xll.BDH("XOM US Equity","CF_TAX_BENEFIT_FRM_STOCK_OPTIONS","FQ3 2004","FQ3 2004","Currency=USD","Period=FQ","BEST_FPERIOD_OVERRIDE=FQ","FILING_STATUS=OR","SCALING_FORMAT=MLN","Sort=A","Dates=H","DateFormat=P","Fill=—","Direction=H","UseDPDF=Y")</f>
        <v>—</v>
      </c>
      <c r="AB45" s="13" t="str">
        <f>_xll.BDH("XOM US Equity","CF_TAX_BENEFIT_FRM_STOCK_OPTIONS","FQ4 2004","FQ4 2004","Currency=USD","Period=FQ","BEST_FPERIOD_OVERRIDE=FQ","FILING_STATUS=OR","SCALING_FORMAT=MLN","Sort=A","Dates=H","DateFormat=P","Fill=—","Direction=H","UseDPDF=Y")</f>
        <v>—</v>
      </c>
      <c r="AC45" s="13" t="str">
        <f>_xll.BDH("XOM US Equity","CF_TAX_BENEFIT_FRM_STOCK_OPTIONS","FQ1 2005","FQ1 2005","Currency=USD","Period=FQ","BEST_FPERIOD_OVERRIDE=FQ","FILING_STATUS=OR","SCALING_FORMAT=MLN","Sort=A","Dates=H","DateFormat=P","Fill=—","Direction=H","UseDPDF=Y")</f>
        <v>—</v>
      </c>
      <c r="AD45" s="13" t="str">
        <f>_xll.BDH("XOM US Equity","CF_TAX_BENEFIT_FRM_STOCK_OPTIONS","FQ2 2005","FQ2 2005","Currency=USD","Period=FQ","BEST_FPERIOD_OVERRIDE=FQ","FILING_STATUS=OR","SCALING_FORMAT=MLN","Sort=A","Dates=H","DateFormat=P","Fill=—","Direction=H","UseDPDF=Y")</f>
        <v>—</v>
      </c>
      <c r="AE45" s="13" t="str">
        <f>_xll.BDH("XOM US Equity","CF_TAX_BENEFIT_FRM_STOCK_OPTIONS","FQ3 2005","FQ3 2005","Currency=USD","Period=FQ","BEST_FPERIOD_OVERRIDE=FQ","FILING_STATUS=OR","SCALING_FORMAT=MLN","Sort=A","Dates=H","DateFormat=P","Fill=—","Direction=H","UseDPDF=Y")</f>
        <v>—</v>
      </c>
      <c r="AF45" s="13" t="str">
        <f>_xll.BDH("XOM US Equity","CF_TAX_BENEFIT_FRM_STOCK_OPTIONS","FQ4 2005","FQ4 2005","Currency=USD","Period=FQ","BEST_FPERIOD_OVERRIDE=FQ","FILING_STATUS=OR","SCALING_FORMAT=MLN","Sort=A","Dates=H","DateFormat=P","Fill=—","Direction=H","UseDPDF=Y")</f>
        <v>—</v>
      </c>
      <c r="AG45" s="13" t="str">
        <f>_xll.BDH("XOM US Equity","CF_TAX_BENEFIT_FRM_STOCK_OPTIONS","FQ1 2006","FQ1 2006","Currency=USD","Period=FQ","BEST_FPERIOD_OVERRIDE=FQ","FILING_STATUS=OR","SCALING_FORMAT=MLN","Sort=A","Dates=H","DateFormat=P","Fill=—","Direction=H","UseDPDF=Y")</f>
        <v>—</v>
      </c>
      <c r="AH45" s="13">
        <f>_xll.BDH("XOM US Equity","CF_TAX_BENEFIT_FRM_STOCK_OPTIONS","FQ2 2006","FQ2 2006","Currency=USD","Period=FQ","BEST_FPERIOD_OVERRIDE=FQ","FILING_STATUS=OR","SCALING_FORMAT=MLN","Sort=A","Dates=H","DateFormat=P","Fill=—","Direction=H","UseDPDF=Y")</f>
        <v>128</v>
      </c>
      <c r="AI45" s="13">
        <f>_xll.BDH("XOM US Equity","CF_TAX_BENEFIT_FRM_STOCK_OPTIONS","FQ3 2006","FQ3 2006","Currency=USD","Period=FQ","BEST_FPERIOD_OVERRIDE=FQ","FILING_STATUS=OR","SCALING_FORMAT=MLN","Sort=A","Dates=H","DateFormat=P","Fill=—","Direction=H","UseDPDF=Y")</f>
        <v>142</v>
      </c>
      <c r="AJ45" s="13">
        <f>_xll.BDH("XOM US Equity","CF_TAX_BENEFIT_FRM_STOCK_OPTIONS","FQ4 2006","FQ4 2006","Currency=USD","Period=FQ","BEST_FPERIOD_OVERRIDE=FQ","FILING_STATUS=OR","SCALING_FORMAT=MLN","Sort=A","Dates=H","DateFormat=P","Fill=—","Direction=H","UseDPDF=Y")</f>
        <v>192</v>
      </c>
      <c r="AK45" s="13" t="str">
        <f>_xll.BDH("XOM US Equity","CF_TAX_BENEFIT_FRM_STOCK_OPTIONS","FQ1 2007","FQ1 2007","Currency=USD","Period=FQ","BEST_FPERIOD_OVERRIDE=FQ","FILING_STATUS=OR","SCALING_FORMAT=MLN","Sort=A","Dates=H","DateFormat=P","Fill=—","Direction=H","UseDPDF=Y")</f>
        <v>—</v>
      </c>
      <c r="AL45" s="13">
        <f>_xll.BDH("XOM US Equity","CF_TAX_BENEFIT_FRM_STOCK_OPTIONS","FQ2 2007","FQ2 2007","Currency=USD","Period=FQ","BEST_FPERIOD_OVERRIDE=FQ","FILING_STATUS=OR","SCALING_FORMAT=MLN","Sort=A","Dates=H","DateFormat=P","Fill=—","Direction=H","UseDPDF=Y")</f>
        <v>237</v>
      </c>
      <c r="AM45" s="13">
        <f>_xll.BDH("XOM US Equity","CF_TAX_BENEFIT_FRM_STOCK_OPTIONS","FQ3 2007","FQ3 2007","Currency=USD","Period=FQ","BEST_FPERIOD_OVERRIDE=FQ","FILING_STATUS=OR","SCALING_FORMAT=MLN","Sort=A","Dates=H","DateFormat=P","Fill=—","Direction=H","UseDPDF=Y")</f>
        <v>119</v>
      </c>
      <c r="AN45" s="13">
        <f>_xll.BDH("XOM US Equity","CF_TAX_BENEFIT_FRM_STOCK_OPTIONS","FQ4 2007","FQ4 2007","Currency=USD","Period=FQ","BEST_FPERIOD_OVERRIDE=FQ","FILING_STATUS=OR","SCALING_FORMAT=MLN","Sort=A","Dates=H","DateFormat=P","Fill=—","Direction=H","UseDPDF=Y")</f>
        <v>13</v>
      </c>
      <c r="AO45" s="13" t="str">
        <f>_xll.BDH("XOM US Equity","CF_TAX_BENEFIT_FRM_STOCK_OPTIONS","FQ1 2008","FQ1 2008","Currency=USD","Period=FQ","BEST_FPERIOD_OVERRIDE=FQ","FILING_STATUS=OR","SCALING_FORMAT=MLN","Sort=A","Dates=H","DateFormat=P","Fill=—","Direction=H","UseDPDF=Y")</f>
        <v>—</v>
      </c>
      <c r="AP45" s="13">
        <f>_xll.BDH("XOM US Equity","CF_TAX_BENEFIT_FRM_STOCK_OPTIONS","FQ2 2008","FQ2 2008","Currency=USD","Period=FQ","BEST_FPERIOD_OVERRIDE=FQ","FILING_STATUS=OR","SCALING_FORMAT=MLN","Sort=A","Dates=H","DateFormat=P","Fill=—","Direction=H","UseDPDF=Y")</f>
        <v>150</v>
      </c>
    </row>
    <row r="46" spans="1:42" x14ac:dyDescent="0.25">
      <c r="A46" s="10" t="s">
        <v>342</v>
      </c>
      <c r="B46" s="10" t="s">
        <v>343</v>
      </c>
      <c r="C46" s="13">
        <f>_xll.BDH("XOM US Equity","CF_FREE_CASH_FLOW","FQ3 1998","FQ3 1998","Currency=USD","Period=FQ","BEST_FPERIOD_OVERRIDE=FQ","FILING_STATUS=OR","SCALING_FORMAT=MLN","Sort=A","Dates=H","DateFormat=P","Fill=—","Direction=H","UseDPDF=Y")</f>
        <v>1403</v>
      </c>
      <c r="D46" s="13">
        <f>_xll.BDH("XOM US Equity","CF_FREE_CASH_FLOW","FQ4 1998","FQ4 1998","Currency=USD","Period=FQ","BEST_FPERIOD_OVERRIDE=FQ","FILING_STATUS=OR","SCALING_FORMAT=MLN","Sort=A","Dates=H","DateFormat=P","Fill=—","Direction=H","UseDPDF=Y")</f>
        <v>189</v>
      </c>
      <c r="E46" s="13">
        <f>_xll.BDH("XOM US Equity","CF_FREE_CASH_FLOW","FQ1 1999","FQ1 1999","Currency=USD","Period=FQ","BEST_FPERIOD_OVERRIDE=FQ","FILING_STATUS=OR","SCALING_FORMAT=MLN","Sort=A","Dates=H","DateFormat=P","Fill=—","Direction=H","UseDPDF=Y")</f>
        <v>916</v>
      </c>
      <c r="F46" s="13">
        <f>_xll.BDH("XOM US Equity","CF_FREE_CASH_FLOW","FQ2 1999","FQ2 1999","Currency=USD","Period=FQ","BEST_FPERIOD_OVERRIDE=FQ","FILING_STATUS=OR","SCALING_FORMAT=MLN","Sort=A","Dates=H","DateFormat=P","Fill=—","Direction=H","UseDPDF=Y")</f>
        <v>42</v>
      </c>
      <c r="G46" s="13">
        <f>_xll.BDH("XOM US Equity","CF_FREE_CASH_FLOW","FQ3 1999","FQ3 1999","Currency=USD","Period=FQ","BEST_FPERIOD_OVERRIDE=FQ","FILING_STATUS=OR","SCALING_FORMAT=MLN","Sort=A","Dates=H","DateFormat=P","Fill=—","Direction=H","UseDPDF=Y")</f>
        <v>1124</v>
      </c>
      <c r="H46" s="13">
        <f>_xll.BDH("XOM US Equity","CF_FREE_CASH_FLOW","FQ4 1999","FQ4 1999","Currency=USD","Period=FQ","BEST_FPERIOD_OVERRIDE=FQ","FILING_STATUS=OR","SCALING_FORMAT=MLN","Sort=A","Dates=H","DateFormat=P","Fill=—","Direction=H","UseDPDF=Y")</f>
        <v>2082</v>
      </c>
      <c r="I46" s="13">
        <f>_xll.BDH("XOM US Equity","CF_FREE_CASH_FLOW","FQ1 2000","FQ1 2000","Currency=USD","Period=FQ","BEST_FPERIOD_OVERRIDE=FQ","FILING_STATUS=OR","SCALING_FORMAT=MLN","Sort=A","Dates=H","DateFormat=P","Fill=—","Direction=H","UseDPDF=Y")</f>
        <v>3721</v>
      </c>
      <c r="J46" s="13">
        <f>_xll.BDH("XOM US Equity","CF_FREE_CASH_FLOW","FQ2 2000","FQ2 2000","Currency=USD","Period=FQ","BEST_FPERIOD_OVERRIDE=FQ","FILING_STATUS=OR","SCALING_FORMAT=MLN","Sort=A","Dates=H","DateFormat=P","Fill=—","Direction=H","UseDPDF=Y")</f>
        <v>3932</v>
      </c>
      <c r="K46" s="13">
        <f>_xll.BDH("XOM US Equity","CF_FREE_CASH_FLOW","FQ3 2000","FQ3 2000","Currency=USD","Period=FQ","BEST_FPERIOD_OVERRIDE=FQ","FILING_STATUS=OR","SCALING_FORMAT=MLN","Sort=A","Dates=H","DateFormat=P","Fill=—","Direction=H","UseDPDF=Y")</f>
        <v>3373</v>
      </c>
      <c r="L46" s="13">
        <f>_xll.BDH("XOM US Equity","CF_FREE_CASH_FLOW","FQ4 2000","FQ4 2000","Currency=USD","Period=FQ","BEST_FPERIOD_OVERRIDE=FQ","FILING_STATUS=OR","SCALING_FORMAT=MLN","Sort=A","Dates=H","DateFormat=P","Fill=—","Direction=H","UseDPDF=Y")</f>
        <v>3465</v>
      </c>
      <c r="M46" s="13">
        <f>_xll.BDH("XOM US Equity","CF_FREE_CASH_FLOW","FQ1 2001","FQ1 2001","Currency=USD","Period=FQ","BEST_FPERIOD_OVERRIDE=FQ","FILING_STATUS=OR","SCALING_FORMAT=MLN","Sort=A","Dates=H","DateFormat=P","Fill=—","Direction=H","UseDPDF=Y")</f>
        <v>6701</v>
      </c>
      <c r="N46" s="13">
        <f>_xll.BDH("XOM US Equity","CF_FREE_CASH_FLOW","FQ2 2001","FQ2 2001","Currency=USD","Period=FQ","BEST_FPERIOD_OVERRIDE=FQ","FILING_STATUS=OR","SCALING_FORMAT=MLN","Sort=A","Dates=H","DateFormat=P","Fill=—","Direction=H","UseDPDF=Y")</f>
        <v>3173</v>
      </c>
      <c r="O46" s="13">
        <f>_xll.BDH("XOM US Equity","CF_FREE_CASH_FLOW","FQ3 2001","FQ3 2001","Currency=USD","Period=FQ","BEST_FPERIOD_OVERRIDE=FQ","FILING_STATUS=OR","SCALING_FORMAT=MLN","Sort=A","Dates=H","DateFormat=P","Fill=—","Direction=H","UseDPDF=Y")</f>
        <v>2762</v>
      </c>
      <c r="P46" s="13">
        <f>_xll.BDH("XOM US Equity","CF_FREE_CASH_FLOW","FQ4 2001","FQ4 2001","Currency=USD","Period=FQ","BEST_FPERIOD_OVERRIDE=FQ","FILING_STATUS=OR","SCALING_FORMAT=MLN","Sort=A","Dates=H","DateFormat=P","Fill=—","Direction=H","UseDPDF=Y")</f>
        <v>264</v>
      </c>
      <c r="Q46" s="13">
        <f>_xll.BDH("XOM US Equity","CF_FREE_CASH_FLOW","FQ1 2002","FQ1 2002","Currency=USD","Period=FQ","BEST_FPERIOD_OVERRIDE=FQ","FILING_STATUS=OR","SCALING_FORMAT=MLN","Sort=A","Dates=H","DateFormat=P","Fill=—","Direction=H","UseDPDF=Y")</f>
        <v>2198</v>
      </c>
      <c r="R46" s="13">
        <f>_xll.BDH("XOM US Equity","CF_FREE_CASH_FLOW","FQ2 2002","FQ2 2002","Currency=USD","Period=FQ","BEST_FPERIOD_OVERRIDE=FQ","FILING_STATUS=OR","SCALING_FORMAT=MLN","Sort=A","Dates=H","DateFormat=P","Fill=—","Direction=H","UseDPDF=Y")</f>
        <v>1279</v>
      </c>
      <c r="S46" s="13">
        <f>_xll.BDH("XOM US Equity","CF_FREE_CASH_FLOW","FQ3 2002","FQ3 2002","Currency=USD","Period=FQ","BEST_FPERIOD_OVERRIDE=FQ","FILING_STATUS=OR","SCALING_FORMAT=MLN","Sort=A","Dates=H","DateFormat=P","Fill=—","Direction=H","UseDPDF=Y")</f>
        <v>4565</v>
      </c>
      <c r="T46" s="13">
        <f>_xll.BDH("XOM US Equity","CF_FREE_CASH_FLOW","FQ4 2002","FQ4 2002","Currency=USD","Period=FQ","BEST_FPERIOD_OVERRIDE=FQ","FILING_STATUS=OR","SCALING_FORMAT=MLN","Sort=A","Dates=H","DateFormat=P","Fill=—","Direction=H","UseDPDF=Y")</f>
        <v>1789</v>
      </c>
      <c r="U46" s="13">
        <f>_xll.BDH("XOM US Equity","CF_FREE_CASH_FLOW","FQ1 2003","FQ1 2003","Currency=USD","Period=FQ","BEST_FPERIOD_OVERRIDE=FQ","FILING_STATUS=OR","SCALING_FORMAT=MLN","Sort=A","Dates=H","DateFormat=P","Fill=—","Direction=H","UseDPDF=Y")</f>
        <v>5708</v>
      </c>
      <c r="V46" s="13">
        <f>_xll.BDH("XOM US Equity","CF_FREE_CASH_FLOW","FQ2 2003","FQ2 2003","Currency=USD","Period=FQ","BEST_FPERIOD_OVERRIDE=FQ","FILING_STATUS=OR","SCALING_FORMAT=MLN","Sort=A","Dates=H","DateFormat=P","Fill=—","Direction=H","UseDPDF=Y")</f>
        <v>4055</v>
      </c>
      <c r="W46" s="13">
        <f>_xll.BDH("XOM US Equity","CF_FREE_CASH_FLOW","FQ3 2003","FQ3 2003","Currency=USD","Period=FQ","BEST_FPERIOD_OVERRIDE=FQ","FILING_STATUS=OR","SCALING_FORMAT=MLN","Sort=A","Dates=H","DateFormat=P","Fill=—","Direction=H","UseDPDF=Y")</f>
        <v>2631</v>
      </c>
      <c r="X46" s="13">
        <f>_xll.BDH("XOM US Equity","CF_FREE_CASH_FLOW","FQ4 2003","FQ4 2003","Currency=USD","Period=FQ","BEST_FPERIOD_OVERRIDE=FQ","FILING_STATUS=OR","SCALING_FORMAT=MLN","Sort=A","Dates=H","DateFormat=P","Fill=—","Direction=H","UseDPDF=Y")</f>
        <v>3245</v>
      </c>
      <c r="Y46" s="13">
        <f>_xll.BDH("XOM US Equity","CF_FREE_CASH_FLOW","FQ1 2004","FQ1 2004","Currency=USD","Period=FQ","BEST_FPERIOD_OVERRIDE=FQ","FILING_STATUS=OR","SCALING_FORMAT=MLN","Sort=A","Dates=H","DateFormat=P","Fill=—","Direction=H","UseDPDF=Y")</f>
        <v>7328</v>
      </c>
      <c r="Z46" s="13">
        <f>_xll.BDH("XOM US Equity","CF_FREE_CASH_FLOW","FQ2 2004","FQ2 2004","Currency=USD","Period=FQ","BEST_FPERIOD_OVERRIDE=FQ","FILING_STATUS=OR","SCALING_FORMAT=MLN","Sort=A","Dates=H","DateFormat=P","Fill=—","Direction=H","UseDPDF=Y")</f>
        <v>5720</v>
      </c>
      <c r="AA46" s="13">
        <f>_xll.BDH("XOM US Equity","CF_FREE_CASH_FLOW","FQ3 2004","FQ3 2004","Currency=USD","Period=FQ","BEST_FPERIOD_OVERRIDE=FQ","FILING_STATUS=OR","SCALING_FORMAT=MLN","Sort=A","Dates=H","DateFormat=P","Fill=—","Direction=H","UseDPDF=Y")</f>
        <v>6616</v>
      </c>
      <c r="AB46" s="13">
        <f>_xll.BDH("XOM US Equity","CF_FREE_CASH_FLOW","FQ4 2004","FQ4 2004","Currency=USD","Period=FQ","BEST_FPERIOD_OVERRIDE=FQ","FILING_STATUS=OR","SCALING_FORMAT=MLN","Sort=A","Dates=H","DateFormat=P","Fill=—","Direction=H","UseDPDF=Y")</f>
        <v>8901</v>
      </c>
      <c r="AC46" s="13">
        <f>_xll.BDH("XOM US Equity","CF_FREE_CASH_FLOW","FQ1 2005","FQ1 2005","Currency=USD","Period=FQ","BEST_FPERIOD_OVERRIDE=FQ","FILING_STATUS=OR","SCALING_FORMAT=MLN","Sort=A","Dates=H","DateFormat=P","Fill=—","Direction=H","UseDPDF=Y")</f>
        <v>10255</v>
      </c>
      <c r="AD46" s="13">
        <f>_xll.BDH("XOM US Equity","CF_FREE_CASH_FLOW","FQ2 2005","FQ2 2005","Currency=USD","Period=FQ","BEST_FPERIOD_OVERRIDE=FQ","FILING_STATUS=OR","SCALING_FORMAT=MLN","Sort=A","Dates=H","DateFormat=P","Fill=—","Direction=H","UseDPDF=Y")</f>
        <v>5278</v>
      </c>
      <c r="AE46" s="13">
        <f>_xll.BDH("XOM US Equity","CF_FREE_CASH_FLOW","FQ3 2005","FQ3 2005","Currency=USD","Period=FQ","BEST_FPERIOD_OVERRIDE=FQ","FILING_STATUS=OR","SCALING_FORMAT=MLN","Sort=A","Dates=H","DateFormat=P","Fill=—","Direction=H","UseDPDF=Y")</f>
        <v>12275</v>
      </c>
      <c r="AF46" s="13">
        <f>_xll.BDH("XOM US Equity","CF_FREE_CASH_FLOW","FQ4 2005","FQ4 2005","Currency=USD","Period=FQ","BEST_FPERIOD_OVERRIDE=FQ","FILING_STATUS=OR","SCALING_FORMAT=MLN","Sort=A","Dates=H","DateFormat=P","Fill=—","Direction=H","UseDPDF=Y")</f>
        <v>6491</v>
      </c>
      <c r="AG46" s="13">
        <f>_xll.BDH("XOM US Equity","CF_FREE_CASH_FLOW","FQ1 2006","FQ1 2006","Currency=USD","Period=FQ","BEST_FPERIOD_OVERRIDE=FQ","FILING_STATUS=OR","SCALING_FORMAT=MLN","Sort=A","Dates=H","DateFormat=P","Fill=—","Direction=H","UseDPDF=Y")</f>
        <v>10901</v>
      </c>
      <c r="AH46" s="13">
        <f>_xll.BDH("XOM US Equity","CF_FREE_CASH_FLOW","FQ2 2006","FQ2 2006","Currency=USD","Period=FQ","BEST_FPERIOD_OVERRIDE=FQ","FILING_STATUS=OR","SCALING_FORMAT=MLN","Sort=A","Dates=H","DateFormat=P","Fill=—","Direction=H","UseDPDF=Y")</f>
        <v>7046</v>
      </c>
      <c r="AI46" s="13">
        <f>_xll.BDH("XOM US Equity","CF_FREE_CASH_FLOW","FQ3 2006","FQ3 2006","Currency=USD","Period=FQ","BEST_FPERIOD_OVERRIDE=FQ","FILING_STATUS=OR","SCALING_FORMAT=MLN","Sort=A","Dates=H","DateFormat=P","Fill=—","Direction=H","UseDPDF=Y")</f>
        <v>10782</v>
      </c>
      <c r="AJ46" s="13">
        <f>_xll.BDH("XOM US Equity","CF_FREE_CASH_FLOW","FQ4 2006","FQ4 2006","Currency=USD","Period=FQ","BEST_FPERIOD_OVERRIDE=FQ","FILING_STATUS=OR","SCALING_FORMAT=MLN","Sort=A","Dates=H","DateFormat=P","Fill=—","Direction=H","UseDPDF=Y")</f>
        <v>5095</v>
      </c>
      <c r="AK46" s="13">
        <f>_xll.BDH("XOM US Equity","CF_FREE_CASH_FLOW","FQ1 2007","FQ1 2007","Currency=USD","Period=FQ","BEST_FPERIOD_OVERRIDE=FQ","FILING_STATUS=OR","SCALING_FORMAT=MLN","Sort=A","Dates=H","DateFormat=P","Fill=—","Direction=H","UseDPDF=Y")</f>
        <v>11180</v>
      </c>
      <c r="AL46" s="13">
        <f>_xll.BDH("XOM US Equity","CF_FREE_CASH_FLOW","FQ2 2007","FQ2 2007","Currency=USD","Period=FQ","BEST_FPERIOD_OVERRIDE=FQ","FILING_STATUS=OR","SCALING_FORMAT=MLN","Sort=A","Dates=H","DateFormat=P","Fill=—","Direction=H","UseDPDF=Y")</f>
        <v>7532</v>
      </c>
      <c r="AM46" s="13">
        <f>_xll.BDH("XOM US Equity","CF_FREE_CASH_FLOW","FQ3 2007","FQ3 2007","Currency=USD","Period=FQ","BEST_FPERIOD_OVERRIDE=FQ","FILING_STATUS=OR","SCALING_FORMAT=MLN","Sort=A","Dates=H","DateFormat=P","Fill=—","Direction=H","UseDPDF=Y")</f>
        <v>11128</v>
      </c>
      <c r="AN46" s="13">
        <f>_xll.BDH("XOM US Equity","CF_FREE_CASH_FLOW","FQ4 2007","FQ4 2007","Currency=USD","Period=FQ","BEST_FPERIOD_OVERRIDE=FQ","FILING_STATUS=OR","SCALING_FORMAT=MLN","Sort=A","Dates=H","DateFormat=P","Fill=—","Direction=H","UseDPDF=Y")</f>
        <v>6775</v>
      </c>
      <c r="AO46" s="13">
        <f>_xll.BDH("XOM US Equity","CF_FREE_CASH_FLOW","FQ1 2008","FQ1 2008","Currency=USD","Period=FQ","BEST_FPERIOD_OVERRIDE=FQ","FILING_STATUS=OR","SCALING_FORMAT=MLN","Sort=A","Dates=H","DateFormat=P","Fill=—","Direction=H","UseDPDF=Y")</f>
        <v>17441</v>
      </c>
      <c r="AP46" s="13">
        <f>_xll.BDH("XOM US Equity","CF_FREE_CASH_FLOW","FQ2 2008","FQ2 2008","Currency=USD","Period=FQ","BEST_FPERIOD_OVERRIDE=FQ","FILING_STATUS=OR","SCALING_FORMAT=MLN","Sort=A","Dates=H","DateFormat=P","Fill=—","Direction=H","UseDPDF=Y")</f>
        <v>8546</v>
      </c>
    </row>
    <row r="47" spans="1:42" x14ac:dyDescent="0.25">
      <c r="A47" s="10" t="s">
        <v>344</v>
      </c>
      <c r="B47" s="10" t="s">
        <v>345</v>
      </c>
      <c r="C47" s="13">
        <f>_xll.BDH("XOM US Equity","CF_FREE_CASH_FLOW_FIRM","FQ3 1998","FQ3 1998","Currency=USD","Period=FQ","BEST_FPERIOD_OVERRIDE=FQ","FILING_STATUS=OR","SCALING_FORMAT=MLN","FA_ADJUSTED=GAAP","Sort=A","Dates=H","DateFormat=P","Fill=—","Direction=H","UseDPDF=Y")</f>
        <v>1432.0572999999999</v>
      </c>
      <c r="D47" s="13" t="str">
        <f>_xll.BDH("XOM US Equity","CF_FREE_CASH_FLOW_FIRM","FQ4 1998","FQ4 1998","Currency=USD","Period=FQ","BEST_FPERIOD_OVERRIDE=FQ","FILING_STATUS=OR","SCALING_FORMAT=MLN","FA_ADJUSTED=GAAP","Sort=A","Dates=H","DateFormat=P","Fill=—","Direction=H","UseDPDF=Y")</f>
        <v>—</v>
      </c>
      <c r="E47" s="13">
        <f>_xll.BDH("XOM US Equity","CF_FREE_CASH_FLOW_FIRM","FQ1 1999","FQ1 1999","Currency=USD","Period=FQ","BEST_FPERIOD_OVERRIDE=FQ","FILING_STATUS=OR","SCALING_FORMAT=MLN","FA_ADJUSTED=GAAP","Sort=A","Dates=H","DateFormat=P","Fill=—","Direction=H","UseDPDF=Y")</f>
        <v>982.19159999999999</v>
      </c>
      <c r="F47" s="13">
        <f>_xll.BDH("XOM US Equity","CF_FREE_CASH_FLOW_FIRM","FQ2 1999","FQ2 1999","Currency=USD","Period=FQ","BEST_FPERIOD_OVERRIDE=FQ","FILING_STATUS=OR","SCALING_FORMAT=MLN","FA_ADJUSTED=GAAP","Sort=A","Dates=H","DateFormat=P","Fill=—","Direction=H","UseDPDF=Y")</f>
        <v>74.495500000000007</v>
      </c>
      <c r="G47" s="13">
        <f>_xll.BDH("XOM US Equity","CF_FREE_CASH_FLOW_FIRM","FQ3 1999","FQ3 1999","Currency=USD","Period=FQ","BEST_FPERIOD_OVERRIDE=FQ","FILING_STATUS=OR","SCALING_FORMAT=MLN","FA_ADJUSTED=GAAP","Sort=A","Dates=H","DateFormat=P","Fill=—","Direction=H","UseDPDF=Y")</f>
        <v>1163.2828999999999</v>
      </c>
      <c r="H47" s="13">
        <f>_xll.BDH("XOM US Equity","CF_FREE_CASH_FLOW_FIRM","FQ4 1999","FQ4 1999","Currency=USD","Period=FQ","BEST_FPERIOD_OVERRIDE=FQ","FILING_STATUS=OR","SCALING_FORMAT=MLN","FA_ADJUSTED=GAAP","Sort=A","Dates=H","DateFormat=P","Fill=—","Direction=H","UseDPDF=Y")</f>
        <v>2347.0426000000002</v>
      </c>
      <c r="I47" s="13">
        <f>_xll.BDH("XOM US Equity","CF_FREE_CASH_FLOW_FIRM","FQ1 2000","FQ1 2000","Currency=USD","Period=FQ","BEST_FPERIOD_OVERRIDE=FQ","FILING_STATUS=OR","SCALING_FORMAT=MLN","FA_ADJUSTED=GAAP","Sort=A","Dates=H","DateFormat=P","Fill=—","Direction=H","UseDPDF=Y")</f>
        <v>3821.9513000000002</v>
      </c>
      <c r="J47" s="13">
        <f>_xll.BDH("XOM US Equity","CF_FREE_CASH_FLOW_FIRM","FQ2 2000","FQ2 2000","Currency=USD","Period=FQ","BEST_FPERIOD_OVERRIDE=FQ","FILING_STATUS=OR","SCALING_FORMAT=MLN","FA_ADJUSTED=GAAP","Sort=A","Dates=H","DateFormat=P","Fill=—","Direction=H","UseDPDF=Y")</f>
        <v>4007.9771000000001</v>
      </c>
      <c r="K47" s="13">
        <f>_xll.BDH("XOM US Equity","CF_FREE_CASH_FLOW_FIRM","FQ3 2000","FQ3 2000","Currency=USD","Period=FQ","BEST_FPERIOD_OVERRIDE=FQ","FILING_STATUS=OR","SCALING_FORMAT=MLN","FA_ADJUSTED=GAAP","Sort=A","Dates=H","DateFormat=P","Fill=—","Direction=H","UseDPDF=Y")</f>
        <v>3438.9326000000001</v>
      </c>
      <c r="L47" s="13">
        <f>_xll.BDH("XOM US Equity","CF_FREE_CASH_FLOW_FIRM","FQ4 2000","FQ4 2000","Currency=USD","Period=FQ","BEST_FPERIOD_OVERRIDE=FQ","FILING_STATUS=OR","SCALING_FORMAT=MLN","FA_ADJUSTED=GAAP","Sort=A","Dates=H","DateFormat=P","Fill=—","Direction=H","UseDPDF=Y")</f>
        <v>3573.9083000000001</v>
      </c>
      <c r="M47" s="13">
        <f>_xll.BDH("XOM US Equity","CF_FREE_CASH_FLOW_FIRM","FQ1 2001","FQ1 2001","Currency=USD","Period=FQ","BEST_FPERIOD_OVERRIDE=FQ","FILING_STATUS=OR","SCALING_FORMAT=MLN","FA_ADJUSTED=GAAP","Sort=A","Dates=H","DateFormat=P","Fill=—","Direction=H","UseDPDF=Y")</f>
        <v>6748.2300999999998</v>
      </c>
      <c r="N47" s="13">
        <f>_xll.BDH("XOM US Equity","CF_FREE_CASH_FLOW_FIRM","FQ2 2001","FQ2 2001","Currency=USD","Period=FQ","BEST_FPERIOD_OVERRIDE=FQ","FILING_STATUS=OR","SCALING_FORMAT=MLN","FA_ADJUSTED=GAAP","Sort=A","Dates=H","DateFormat=P","Fill=—","Direction=H","UseDPDF=Y")</f>
        <v>3216.9625999999998</v>
      </c>
      <c r="O47" s="13">
        <f>_xll.BDH("XOM US Equity","CF_FREE_CASH_FLOW_FIRM","FQ3 2001","FQ3 2001","Currency=USD","Period=FQ","BEST_FPERIOD_OVERRIDE=FQ","FILING_STATUS=OR","SCALING_FORMAT=MLN","FA_ADJUSTED=GAAP","Sort=A","Dates=H","DateFormat=P","Fill=—","Direction=H","UseDPDF=Y")</f>
        <v>2808.8182999999999</v>
      </c>
      <c r="P47" s="13">
        <f>_xll.BDH("XOM US Equity","CF_FREE_CASH_FLOW_FIRM","FQ4 2001","FQ4 2001","Currency=USD","Period=FQ","BEST_FPERIOD_OVERRIDE=FQ","FILING_STATUS=OR","SCALING_FORMAT=MLN","FA_ADJUSTED=GAAP","Sort=A","Dates=H","DateFormat=P","Fill=—","Direction=H","UseDPDF=Y")</f>
        <v>314.3125</v>
      </c>
      <c r="Q47" s="13">
        <f>_xll.BDH("XOM US Equity","CF_FREE_CASH_FLOW_FIRM","FQ1 2002","FQ1 2002","Currency=USD","Period=FQ","BEST_FPERIOD_OVERRIDE=FQ","FILING_STATUS=OR","SCALING_FORMAT=MLN","FA_ADJUSTED=GAAP","Sort=A","Dates=H","DateFormat=P","Fill=—","Direction=H","UseDPDF=Y")</f>
        <v>2252.8534</v>
      </c>
      <c r="R47" s="13">
        <f>_xll.BDH("XOM US Equity","CF_FREE_CASH_FLOW_FIRM","FQ2 2002","FQ2 2002","Currency=USD","Period=FQ","BEST_FPERIOD_OVERRIDE=FQ","FILING_STATUS=OR","SCALING_FORMAT=MLN","FA_ADJUSTED=GAAP","Sort=A","Dates=H","DateFormat=P","Fill=—","Direction=H","UseDPDF=Y")</f>
        <v>1310.4328</v>
      </c>
      <c r="S47" s="13">
        <f>_xll.BDH("XOM US Equity","CF_FREE_CASH_FLOW_FIRM","FQ3 2002","FQ3 2002","Currency=USD","Period=FQ","BEST_FPERIOD_OVERRIDE=FQ","FILING_STATUS=OR","SCALING_FORMAT=MLN","FA_ADJUSTED=GAAP","Sort=A","Dates=H","DateFormat=P","Fill=—","Direction=H","UseDPDF=Y")</f>
        <v>4595.2833000000001</v>
      </c>
      <c r="T47" s="13">
        <f>_xll.BDH("XOM US Equity","CF_FREE_CASH_FLOW_FIRM","FQ4 2002","FQ4 2002","Currency=USD","Period=FQ","BEST_FPERIOD_OVERRIDE=FQ","FILING_STATUS=OR","SCALING_FORMAT=MLN","FA_ADJUSTED=GAAP","Sort=A","Dates=H","DateFormat=P","Fill=—","Direction=H","UseDPDF=Y")</f>
        <v>1932.2125000000001</v>
      </c>
      <c r="U47" s="13">
        <f>_xll.BDH("XOM US Equity","CF_FREE_CASH_FLOW_FIRM","FQ1 2003","FQ1 2003","Currency=USD","Period=FQ","BEST_FPERIOD_OVERRIDE=FQ","FILING_STATUS=OR","SCALING_FORMAT=MLN","FA_ADJUSTED=GAAP","Sort=A","Dates=H","DateFormat=P","Fill=—","Direction=H","UseDPDF=Y")</f>
        <v>5736.1188000000002</v>
      </c>
      <c r="V47" s="13">
        <f>_xll.BDH("XOM US Equity","CF_FREE_CASH_FLOW_FIRM","FQ2 2003","FQ2 2003","Currency=USD","Period=FQ","BEST_FPERIOD_OVERRIDE=FQ","FILING_STATUS=OR","SCALING_FORMAT=MLN","FA_ADJUSTED=GAAP","Sort=A","Dates=H","DateFormat=P","Fill=—","Direction=H","UseDPDF=Y")</f>
        <v>4098.6477999999997</v>
      </c>
      <c r="W47" s="13">
        <f>_xll.BDH("XOM US Equity","CF_FREE_CASH_FLOW_FIRM","FQ3 2003","FQ3 2003","Currency=USD","Period=FQ","BEST_FPERIOD_OVERRIDE=FQ","FILING_STATUS=OR","SCALING_FORMAT=MLN","FA_ADJUSTED=GAAP","Sort=A","Dates=H","DateFormat=P","Fill=—","Direction=H","UseDPDF=Y")</f>
        <v>2656.3654999999999</v>
      </c>
      <c r="X47" s="13">
        <f>_xll.BDH("XOM US Equity","CF_FREE_CASH_FLOW_FIRM","FQ4 2003","FQ4 2003","Currency=USD","Period=FQ","BEST_FPERIOD_OVERRIDE=FQ","FILING_STATUS=OR","SCALING_FORMAT=MLN","FA_ADJUSTED=GAAP","Sort=A","Dates=H","DateFormat=P","Fill=—","Direction=H","UseDPDF=Y")</f>
        <v>3283.4902000000002</v>
      </c>
      <c r="Y47" s="13">
        <f>_xll.BDH("XOM US Equity","CF_FREE_CASH_FLOW_FIRM","FQ1 2004","FQ1 2004","Currency=USD","Period=FQ","BEST_FPERIOD_OVERRIDE=FQ","FILING_STATUS=OR","SCALING_FORMAT=MLN","FA_ADJUSTED=GAAP","Sort=A","Dates=H","DateFormat=P","Fill=—","Direction=H","UseDPDF=Y")</f>
        <v>7357.4549999999999</v>
      </c>
      <c r="Z47" s="13">
        <f>_xll.BDH("XOM US Equity","CF_FREE_CASH_FLOW_FIRM","FQ2 2004","FQ2 2004","Currency=USD","Period=FQ","BEST_FPERIOD_OVERRIDE=FQ","FILING_STATUS=OR","SCALING_FORMAT=MLN","FA_ADJUSTED=GAAP","Sort=A","Dates=H","DateFormat=P","Fill=—","Direction=H","UseDPDF=Y")</f>
        <v>5750.8252000000002</v>
      </c>
      <c r="AA47" s="13">
        <f>_xll.BDH("XOM US Equity","CF_FREE_CASH_FLOW_FIRM","FQ3 2004","FQ3 2004","Currency=USD","Period=FQ","BEST_FPERIOD_OVERRIDE=FQ","FILING_STATUS=OR","SCALING_FORMAT=MLN","FA_ADJUSTED=GAAP","Sort=A","Dates=H","DateFormat=P","Fill=—","Direction=H","UseDPDF=Y")</f>
        <v>6893.2485999999999</v>
      </c>
      <c r="AB47" s="13">
        <f>_xll.BDH("XOM US Equity","CF_FREE_CASH_FLOW_FIRM","FQ4 2004","FQ4 2004","Currency=USD","Period=FQ","BEST_FPERIOD_OVERRIDE=FQ","FILING_STATUS=OR","SCALING_FORMAT=MLN","FA_ADJUSTED=GAAP","Sort=A","Dates=H","DateFormat=P","Fill=—","Direction=H","UseDPDF=Y")</f>
        <v>8953.0287000000008</v>
      </c>
      <c r="AC47" s="13">
        <f>_xll.BDH("XOM US Equity","CF_FREE_CASH_FLOW_FIRM","FQ1 2005","FQ1 2005","Currency=USD","Period=FQ","BEST_FPERIOD_OVERRIDE=FQ","FILING_STATUS=OR","SCALING_FORMAT=MLN","FA_ADJUSTED=GAAP","Sort=A","Dates=H","DateFormat=P","Fill=—","Direction=H","UseDPDF=Y")</f>
        <v>10289.272999999999</v>
      </c>
      <c r="AD47" s="13">
        <f>_xll.BDH("XOM US Equity","CF_FREE_CASH_FLOW_FIRM","FQ2 2005","FQ2 2005","Currency=USD","Period=FQ","BEST_FPERIOD_OVERRIDE=FQ","FILING_STATUS=OR","SCALING_FORMAT=MLN","FA_ADJUSTED=GAAP","Sort=A","Dates=H","DateFormat=P","Fill=—","Direction=H","UseDPDF=Y")</f>
        <v>5425.6089000000002</v>
      </c>
      <c r="AE47" s="13">
        <f>_xll.BDH("XOM US Equity","CF_FREE_CASH_FLOW_FIRM","FQ3 2005","FQ3 2005","Currency=USD","Period=FQ","BEST_FPERIOD_OVERRIDE=FQ","FILING_STATUS=OR","SCALING_FORMAT=MLN","FA_ADJUSTED=GAAP","Sort=A","Dates=H","DateFormat=P","Fill=—","Direction=H","UseDPDF=Y")</f>
        <v>12320.412399999999</v>
      </c>
      <c r="AF47" s="13">
        <f>_xll.BDH("XOM US Equity","CF_FREE_CASH_FLOW_FIRM","FQ4 2005","FQ4 2005","Currency=USD","Period=FQ","BEST_FPERIOD_OVERRIDE=FQ","FILING_STATUS=OR","SCALING_FORMAT=MLN","FA_ADJUSTED=GAAP","Sort=A","Dates=H","DateFormat=P","Fill=—","Direction=H","UseDPDF=Y")</f>
        <v>6566.2420000000002</v>
      </c>
      <c r="AG47" s="13">
        <f>_xll.BDH("XOM US Equity","CF_FREE_CASH_FLOW_FIRM","FQ1 2006","FQ1 2006","Currency=USD","Period=FQ","BEST_FPERIOD_OVERRIDE=FQ","FILING_STATUS=OR","SCALING_FORMAT=MLN","FA_ADJUSTED=GAAP","Sort=A","Dates=H","DateFormat=P","Fill=—","Direction=H","UseDPDF=Y")</f>
        <v>10991.5332</v>
      </c>
      <c r="AH47" s="13">
        <f>_xll.BDH("XOM US Equity","CF_FREE_CASH_FLOW_FIRM","FQ2 2006","FQ2 2006","Currency=USD","Period=FQ","BEST_FPERIOD_OVERRIDE=FQ","FILING_STATUS=OR","SCALING_FORMAT=MLN","FA_ADJUSTED=GAAP","Sort=A","Dates=H","DateFormat=P","Fill=—","Direction=H","UseDPDF=Y")</f>
        <v>7107.5263000000004</v>
      </c>
      <c r="AI47" s="13">
        <f>_xll.BDH("XOM US Equity","CF_FREE_CASH_FLOW_FIRM","FQ3 2006","FQ3 2006","Currency=USD","Period=FQ","BEST_FPERIOD_OVERRIDE=FQ","FILING_STATUS=OR","SCALING_FORMAT=MLN","FA_ADJUSTED=GAAP","Sort=A","Dates=H","DateFormat=P","Fill=—","Direction=H","UseDPDF=Y")</f>
        <v>10946.0358</v>
      </c>
      <c r="AJ47" s="13">
        <f>_xll.BDH("XOM US Equity","CF_FREE_CASH_FLOW_FIRM","FQ4 2006","FQ4 2006","Currency=USD","Period=FQ","BEST_FPERIOD_OVERRIDE=FQ","FILING_STATUS=OR","SCALING_FORMAT=MLN","FA_ADJUSTED=GAAP","Sort=A","Dates=H","DateFormat=P","Fill=—","Direction=H","UseDPDF=Y")</f>
        <v>5162.2316000000001</v>
      </c>
      <c r="AK47" s="13">
        <f>_xll.BDH("XOM US Equity","CF_FREE_CASH_FLOW_FIRM","FQ1 2007","FQ1 2007","Currency=USD","Period=FQ","BEST_FPERIOD_OVERRIDE=FQ","FILING_STATUS=OR","SCALING_FORMAT=MLN","FA_ADJUSTED=GAAP","Sort=A","Dates=H","DateFormat=P","Fill=—","Direction=H","UseDPDF=Y")</f>
        <v>11240.168600000001</v>
      </c>
      <c r="AL47" s="13">
        <f>_xll.BDH("XOM US Equity","CF_FREE_CASH_FLOW_FIRM","FQ2 2007","FQ2 2007","Currency=USD","Period=FQ","BEST_FPERIOD_OVERRIDE=FQ","FILING_STATUS=OR","SCALING_FORMAT=MLN","FA_ADJUSTED=GAAP","Sort=A","Dates=H","DateFormat=P","Fill=—","Direction=H","UseDPDF=Y")</f>
        <v>7587.3658999999998</v>
      </c>
      <c r="AM47" s="13">
        <f>_xll.BDH("XOM US Equity","CF_FREE_CASH_FLOW_FIRM","FQ3 2007","FQ3 2007","Currency=USD","Period=FQ","BEST_FPERIOD_OVERRIDE=FQ","FILING_STATUS=OR","SCALING_FORMAT=MLN","FA_ADJUSTED=GAAP","Sort=A","Dates=H","DateFormat=P","Fill=—","Direction=H","UseDPDF=Y")</f>
        <v>11169.519700000001</v>
      </c>
      <c r="AN47" s="13">
        <f>_xll.BDH("XOM US Equity","CF_FREE_CASH_FLOW_FIRM","FQ4 2007","FQ4 2007","Currency=USD","Period=FQ","BEST_FPERIOD_OVERRIDE=FQ","FILING_STATUS=OR","SCALING_FORMAT=MLN","FA_ADJUSTED=GAAP","Sort=A","Dates=H","DateFormat=P","Fill=—","Direction=H","UseDPDF=Y")</f>
        <v>6851.4161000000004</v>
      </c>
      <c r="AO47" s="13">
        <f>_xll.BDH("XOM US Equity","CF_FREE_CASH_FLOW_FIRM","FQ1 2008","FQ1 2008","Currency=USD","Period=FQ","BEST_FPERIOD_OVERRIDE=FQ","FILING_STATUS=OR","SCALING_FORMAT=MLN","FA_ADJUSTED=GAAP","Sort=A","Dates=H","DateFormat=P","Fill=—","Direction=H","UseDPDF=Y")</f>
        <v>17511.936799999999</v>
      </c>
      <c r="AP47" s="13">
        <f>_xll.BDH("XOM US Equity","CF_FREE_CASH_FLOW_FIRM","FQ2 2008","FQ2 2008","Currency=USD","Period=FQ","BEST_FPERIOD_OVERRIDE=FQ","FILING_STATUS=OR","SCALING_FORMAT=MLN","FA_ADJUSTED=GAAP","Sort=A","Dates=H","DateFormat=P","Fill=—","Direction=H","UseDPDF=Y")</f>
        <v>8602.7890000000007</v>
      </c>
    </row>
    <row r="48" spans="1:42" x14ac:dyDescent="0.25">
      <c r="A48" s="10" t="s">
        <v>346</v>
      </c>
      <c r="B48" s="10" t="s">
        <v>347</v>
      </c>
      <c r="C48" s="13">
        <f>_xll.BDH("XOM US Equity","FREE_CASH_FLOW_EQUITY","FQ3 1998","FQ3 1998","Currency=USD","Period=FQ","BEST_FPERIOD_OVERRIDE=FQ","FILING_STATUS=OR","SCALING_FORMAT=MLN","Sort=A","Dates=H","DateFormat=P","Fill=—","Direction=H","UseDPDF=Y")</f>
        <v>1378.5</v>
      </c>
      <c r="D48" s="13">
        <f>_xll.BDH("XOM US Equity","FREE_CASH_FLOW_EQUITY","FQ4 1998","FQ4 1998","Currency=USD","Period=FQ","BEST_FPERIOD_OVERRIDE=FQ","FILING_STATUS=OR","SCALING_FORMAT=MLN","Sort=A","Dates=H","DateFormat=P","Fill=—","Direction=H","UseDPDF=Y")</f>
        <v>2746</v>
      </c>
      <c r="E48" s="13">
        <f>_xll.BDH("XOM US Equity","FREE_CASH_FLOW_EQUITY","FQ1 1999","FQ1 1999","Currency=USD","Period=FQ","BEST_FPERIOD_OVERRIDE=FQ","FILING_STATUS=OR","SCALING_FORMAT=MLN","Sort=A","Dates=H","DateFormat=P","Fill=—","Direction=H","UseDPDF=Y")</f>
        <v>57</v>
      </c>
      <c r="F48" s="13">
        <f>_xll.BDH("XOM US Equity","FREE_CASH_FLOW_EQUITY","FQ2 1999","FQ2 1999","Currency=USD","Period=FQ","BEST_FPERIOD_OVERRIDE=FQ","FILING_STATUS=OR","SCALING_FORMAT=MLN","Sort=A","Dates=H","DateFormat=P","Fill=—","Direction=H","UseDPDF=Y")</f>
        <v>1177</v>
      </c>
      <c r="G48" s="13">
        <f>_xll.BDH("XOM US Equity","FREE_CASH_FLOW_EQUITY","FQ3 1999","FQ3 1999","Currency=USD","Period=FQ","BEST_FPERIOD_OVERRIDE=FQ","FILING_STATUS=OR","SCALING_FORMAT=MLN","Sort=A","Dates=H","DateFormat=P","Fill=—","Direction=H","UseDPDF=Y")</f>
        <v>1081</v>
      </c>
      <c r="H48" s="13">
        <f>_xll.BDH("XOM US Equity","FREE_CASH_FLOW_EQUITY","FQ4 1999","FQ4 1999","Currency=USD","Period=FQ","BEST_FPERIOD_OVERRIDE=FQ","FILING_STATUS=OR","SCALING_FORMAT=MLN","Sort=A","Dates=H","DateFormat=P","Fill=—","Direction=H","UseDPDF=Y")</f>
        <v>3788</v>
      </c>
      <c r="I48" s="13">
        <f>_xll.BDH("XOM US Equity","FREE_CASH_FLOW_EQUITY","FQ1 2000","FQ1 2000","Currency=USD","Period=FQ","BEST_FPERIOD_OVERRIDE=FQ","FILING_STATUS=OR","SCALING_FORMAT=MLN","Sort=A","Dates=H","DateFormat=P","Fill=—","Direction=H","UseDPDF=Y")</f>
        <v>2172</v>
      </c>
      <c r="J48" s="13" t="str">
        <f>_xll.BDH("XOM US Equity","FREE_CASH_FLOW_EQUITY","FQ2 2000","FQ2 2000","Currency=USD","Period=FQ","BEST_FPERIOD_OVERRIDE=FQ","FILING_STATUS=OR","SCALING_FORMAT=MLN","Sort=A","Dates=H","DateFormat=P","Fill=—","Direction=H","UseDPDF=Y")</f>
        <v>—</v>
      </c>
      <c r="K48" s="13" t="str">
        <f>_xll.BDH("XOM US Equity","FREE_CASH_FLOW_EQUITY","FQ3 2000","FQ3 2000","Currency=USD","Period=FQ","BEST_FPERIOD_OVERRIDE=FQ","FILING_STATUS=OR","SCALING_FORMAT=MLN","Sort=A","Dates=H","DateFormat=P","Fill=—","Direction=H","UseDPDF=Y")</f>
        <v>—</v>
      </c>
      <c r="L48" s="13" t="str">
        <f>_xll.BDH("XOM US Equity","FREE_CASH_FLOW_EQUITY","FQ4 2000","FQ4 2000","Currency=USD","Period=FQ","BEST_FPERIOD_OVERRIDE=FQ","FILING_STATUS=OR","SCALING_FORMAT=MLN","Sort=A","Dates=H","DateFormat=P","Fill=—","Direction=H","UseDPDF=Y")</f>
        <v>—</v>
      </c>
      <c r="M48" s="13" t="str">
        <f>_xll.BDH("XOM US Equity","FREE_CASH_FLOW_EQUITY","FQ1 2001","FQ1 2001","Currency=USD","Period=FQ","BEST_FPERIOD_OVERRIDE=FQ","FILING_STATUS=OR","SCALING_FORMAT=MLN","Sort=A","Dates=H","DateFormat=P","Fill=—","Direction=H","UseDPDF=Y")</f>
        <v>—</v>
      </c>
      <c r="N48" s="13">
        <f>_xll.BDH("XOM US Equity","FREE_CASH_FLOW_EQUITY","FQ2 2001","FQ2 2001","Currency=USD","Period=FQ","BEST_FPERIOD_OVERRIDE=FQ","FILING_STATUS=OR","SCALING_FORMAT=MLN","Sort=A","Dates=H","DateFormat=P","Fill=—","Direction=H","UseDPDF=Y")</f>
        <v>1937</v>
      </c>
      <c r="O48" s="13">
        <f>_xll.BDH("XOM US Equity","FREE_CASH_FLOW_EQUITY","FQ3 2001","FQ3 2001","Currency=USD","Period=FQ","BEST_FPERIOD_OVERRIDE=FQ","FILING_STATUS=OR","SCALING_FORMAT=MLN","Sort=A","Dates=H","DateFormat=P","Fill=—","Direction=H","UseDPDF=Y")</f>
        <v>2918</v>
      </c>
      <c r="P48" s="13">
        <f>_xll.BDH("XOM US Equity","FREE_CASH_FLOW_EQUITY","FQ4 2001","FQ4 2001","Currency=USD","Period=FQ","BEST_FPERIOD_OVERRIDE=FQ","FILING_STATUS=OR","SCALING_FORMAT=MLN","Sort=A","Dates=H","DateFormat=P","Fill=—","Direction=H","UseDPDF=Y")</f>
        <v>54</v>
      </c>
      <c r="Q48" s="13" t="str">
        <f>_xll.BDH("XOM US Equity","FREE_CASH_FLOW_EQUITY","FQ1 2002","FQ1 2002","Currency=USD","Period=FQ","BEST_FPERIOD_OVERRIDE=FQ","FILING_STATUS=OR","SCALING_FORMAT=MLN","Sort=A","Dates=H","DateFormat=P","Fill=—","Direction=H","UseDPDF=Y")</f>
        <v>—</v>
      </c>
      <c r="R48" s="13">
        <f>_xll.BDH("XOM US Equity","FREE_CASH_FLOW_EQUITY","FQ2 2002","FQ2 2002","Currency=USD","Period=FQ","BEST_FPERIOD_OVERRIDE=FQ","FILING_STATUS=OR","SCALING_FORMAT=MLN","Sort=A","Dates=H","DateFormat=P","Fill=—","Direction=H","UseDPDF=Y")</f>
        <v>1924</v>
      </c>
      <c r="S48" s="13">
        <f>_xll.BDH("XOM US Equity","FREE_CASH_FLOW_EQUITY","FQ3 2002","FQ3 2002","Currency=USD","Period=FQ","BEST_FPERIOD_OVERRIDE=FQ","FILING_STATUS=OR","SCALING_FORMAT=MLN","Sort=A","Dates=H","DateFormat=P","Fill=—","Direction=H","UseDPDF=Y")</f>
        <v>4268</v>
      </c>
      <c r="T48" s="13">
        <f>_xll.BDH("XOM US Equity","FREE_CASH_FLOW_EQUITY","FQ4 2002","FQ4 2002","Currency=USD","Period=FQ","BEST_FPERIOD_OVERRIDE=FQ","FILING_STATUS=OR","SCALING_FORMAT=MLN","Sort=A","Dates=H","DateFormat=P","Fill=—","Direction=H","UseDPDF=Y")</f>
        <v>3505</v>
      </c>
      <c r="U48" s="13">
        <f>_xll.BDH("XOM US Equity","FREE_CASH_FLOW_EQUITY","FQ1 2003","FQ1 2003","Currency=USD","Period=FQ","BEST_FPERIOD_OVERRIDE=FQ","FILING_STATUS=OR","SCALING_FORMAT=MLN","Sort=A","Dates=H","DateFormat=P","Fill=—","Direction=H","UseDPDF=Y")</f>
        <v>6854</v>
      </c>
      <c r="V48" s="13">
        <f>_xll.BDH("XOM US Equity","FREE_CASH_FLOW_EQUITY","FQ2 2003","FQ2 2003","Currency=USD","Period=FQ","BEST_FPERIOD_OVERRIDE=FQ","FILING_STATUS=OR","SCALING_FORMAT=MLN","Sort=A","Dates=H","DateFormat=P","Fill=—","Direction=H","UseDPDF=Y")</f>
        <v>3692</v>
      </c>
      <c r="W48" s="13">
        <f>_xll.BDH("XOM US Equity","FREE_CASH_FLOW_EQUITY","FQ3 2003","FQ3 2003","Currency=USD","Period=FQ","BEST_FPERIOD_OVERRIDE=FQ","FILING_STATUS=OR","SCALING_FORMAT=MLN","Sort=A","Dates=H","DateFormat=P","Fill=—","Direction=H","UseDPDF=Y")</f>
        <v>2235</v>
      </c>
      <c r="X48" s="13">
        <f>_xll.BDH("XOM US Equity","FREE_CASH_FLOW_EQUITY","FQ4 2003","FQ4 2003","Currency=USD","Period=FQ","BEST_FPERIOD_OVERRIDE=FQ","FILING_STATUS=OR","SCALING_FORMAT=MLN","Sort=A","Dates=H","DateFormat=P","Fill=—","Direction=H","UseDPDF=Y")</f>
        <v>3024</v>
      </c>
      <c r="Y48" s="13">
        <f>_xll.BDH("XOM US Equity","FREE_CASH_FLOW_EQUITY","FQ1 2004","FQ1 2004","Currency=USD","Period=FQ","BEST_FPERIOD_OVERRIDE=FQ","FILING_STATUS=OR","SCALING_FORMAT=MLN","Sort=A","Dates=H","DateFormat=P","Fill=—","Direction=H","UseDPDF=Y")</f>
        <v>8102</v>
      </c>
      <c r="Z48" s="13">
        <f>_xll.BDH("XOM US Equity","FREE_CASH_FLOW_EQUITY","FQ2 2004","FQ2 2004","Currency=USD","Period=FQ","BEST_FPERIOD_OVERRIDE=FQ","FILING_STATUS=OR","SCALING_FORMAT=MLN","Sort=A","Dates=H","DateFormat=P","Fill=—","Direction=H","UseDPDF=Y")</f>
        <v>6494</v>
      </c>
      <c r="AA48" s="13">
        <f>_xll.BDH("XOM US Equity","FREE_CASH_FLOW_EQUITY","FQ3 2004","FQ3 2004","Currency=USD","Period=FQ","BEST_FPERIOD_OVERRIDE=FQ","FILING_STATUS=OR","SCALING_FORMAT=MLN","Sort=A","Dates=H","DateFormat=P","Fill=—","Direction=H","UseDPDF=Y")</f>
        <v>7034</v>
      </c>
      <c r="AB48" s="13">
        <f>_xll.BDH("XOM US Equity","FREE_CASH_FLOW_EQUITY","FQ4 2004","FQ4 2004","Currency=USD","Period=FQ","BEST_FPERIOD_OVERRIDE=FQ","FILING_STATUS=OR","SCALING_FORMAT=MLN","Sort=A","Dates=H","DateFormat=P","Fill=—","Direction=H","UseDPDF=Y")</f>
        <v>7738</v>
      </c>
      <c r="AC48" s="13">
        <f>_xll.BDH("XOM US Equity","FREE_CASH_FLOW_EQUITY","FQ1 2005","FQ1 2005","Currency=USD","Period=FQ","BEST_FPERIOD_OVERRIDE=FQ","FILING_STATUS=OR","SCALING_FORMAT=MLN","Sort=A","Dates=H","DateFormat=P","Fill=—","Direction=H","UseDPDF=Y")</f>
        <v>12061</v>
      </c>
      <c r="AD48" s="13">
        <f>_xll.BDH("XOM US Equity","FREE_CASH_FLOW_EQUITY","FQ2 2005","FQ2 2005","Currency=USD","Period=FQ","BEST_FPERIOD_OVERRIDE=FQ","FILING_STATUS=OR","SCALING_FORMAT=MLN","Sort=A","Dates=H","DateFormat=P","Fill=—","Direction=H","UseDPDF=Y")</f>
        <v>7021</v>
      </c>
      <c r="AE48" s="13">
        <f>_xll.BDH("XOM US Equity","FREE_CASH_FLOW_EQUITY","FQ3 2005","FQ3 2005","Currency=USD","Period=FQ","BEST_FPERIOD_OVERRIDE=FQ","FILING_STATUS=OR","SCALING_FORMAT=MLN","Sort=A","Dates=H","DateFormat=P","Fill=—","Direction=H","UseDPDF=Y")</f>
        <v>12291</v>
      </c>
      <c r="AF48" s="13">
        <f>_xll.BDH("XOM US Equity","FREE_CASH_FLOW_EQUITY","FQ4 2005","FQ4 2005","Currency=USD","Period=FQ","BEST_FPERIOD_OVERRIDE=FQ","FILING_STATUS=OR","SCALING_FORMAT=MLN","Sort=A","Dates=H","DateFormat=P","Fill=—","Direction=H","UseDPDF=Y")</f>
        <v>7460</v>
      </c>
      <c r="AG48" s="13" t="str">
        <f>_xll.BDH("XOM US Equity","FREE_CASH_FLOW_EQUITY","FQ1 2006","FQ1 2006","Currency=USD","Period=FQ","BEST_FPERIOD_OVERRIDE=FQ","FILING_STATUS=OR","SCALING_FORMAT=MLN","Sort=A","Dates=H","DateFormat=P","Fill=—","Direction=H","UseDPDF=Y")</f>
        <v>—</v>
      </c>
      <c r="AH48" s="13" t="str">
        <f>_xll.BDH("XOM US Equity","FREE_CASH_FLOW_EQUITY","FQ2 2006","FQ2 2006","Currency=USD","Period=FQ","BEST_FPERIOD_OVERRIDE=FQ","FILING_STATUS=OR","SCALING_FORMAT=MLN","Sort=A","Dates=H","DateFormat=P","Fill=—","Direction=H","UseDPDF=Y")</f>
        <v>—</v>
      </c>
      <c r="AI48" s="13" t="str">
        <f>_xll.BDH("XOM US Equity","FREE_CASH_FLOW_EQUITY","FQ3 2006","FQ3 2006","Currency=USD","Period=FQ","BEST_FPERIOD_OVERRIDE=FQ","FILING_STATUS=OR","SCALING_FORMAT=MLN","Sort=A","Dates=H","DateFormat=P","Fill=—","Direction=H","UseDPDF=Y")</f>
        <v>—</v>
      </c>
      <c r="AJ48" s="13" t="str">
        <f>_xll.BDH("XOM US Equity","FREE_CASH_FLOW_EQUITY","FQ4 2006","FQ4 2006","Currency=USD","Period=FQ","BEST_FPERIOD_OVERRIDE=FQ","FILING_STATUS=OR","SCALING_FORMAT=MLN","Sort=A","Dates=H","DateFormat=P","Fill=—","Direction=H","UseDPDF=Y")</f>
        <v>—</v>
      </c>
      <c r="AK48" s="13">
        <f>_xll.BDH("XOM US Equity","FREE_CASH_FLOW_EQUITY","FQ1 2007","FQ1 2007","Currency=USD","Period=FQ","BEST_FPERIOD_OVERRIDE=FQ","FILING_STATUS=OR","SCALING_FORMAT=MLN","Sort=A","Dates=H","DateFormat=P","Fill=—","Direction=H","UseDPDF=Y")</f>
        <v>12049</v>
      </c>
      <c r="AL48" s="13">
        <f>_xll.BDH("XOM US Equity","FREE_CASH_FLOW_EQUITY","FQ2 2007","FQ2 2007","Currency=USD","Period=FQ","BEST_FPERIOD_OVERRIDE=FQ","FILING_STATUS=OR","SCALING_FORMAT=MLN","Sort=A","Dates=H","DateFormat=P","Fill=—","Direction=H","UseDPDF=Y")</f>
        <v>8606</v>
      </c>
      <c r="AM48" s="13">
        <f>_xll.BDH("XOM US Equity","FREE_CASH_FLOW_EQUITY","FQ3 2007","FQ3 2007","Currency=USD","Period=FQ","BEST_FPERIOD_OVERRIDE=FQ","FILING_STATUS=OR","SCALING_FORMAT=MLN","Sort=A","Dates=H","DateFormat=P","Fill=—","Direction=H","UseDPDF=Y")</f>
        <v>11786</v>
      </c>
      <c r="AN48" s="13">
        <f>_xll.BDH("XOM US Equity","FREE_CASH_FLOW_EQUITY","FQ4 2007","FQ4 2007","Currency=USD","Period=FQ","BEST_FPERIOD_OVERRIDE=FQ","FILING_STATUS=OR","SCALING_FORMAT=MLN","Sort=A","Dates=H","DateFormat=P","Fill=—","Direction=H","UseDPDF=Y")</f>
        <v>8976</v>
      </c>
      <c r="AO48" s="13">
        <f>_xll.BDH("XOM US Equity","FREE_CASH_FLOW_EQUITY","FQ1 2008","FQ1 2008","Currency=USD","Period=FQ","BEST_FPERIOD_OVERRIDE=FQ","FILING_STATUS=OR","SCALING_FORMAT=MLN","Sort=A","Dates=H","DateFormat=P","Fill=—","Direction=H","UseDPDF=Y")</f>
        <v>18033</v>
      </c>
      <c r="AP48" s="13">
        <f>_xll.BDH("XOM US Equity","FREE_CASH_FLOW_EQUITY","FQ2 2008","FQ2 2008","Currency=USD","Period=FQ","BEST_FPERIOD_OVERRIDE=FQ","FILING_STATUS=OR","SCALING_FORMAT=MLN","Sort=A","Dates=H","DateFormat=P","Fill=—","Direction=H","UseDPDF=Y")</f>
        <v>9294</v>
      </c>
    </row>
    <row r="49" spans="1:42" x14ac:dyDescent="0.25">
      <c r="A49" s="10" t="s">
        <v>348</v>
      </c>
      <c r="B49" s="10" t="s">
        <v>349</v>
      </c>
      <c r="C49" s="14">
        <f>_xll.BDH("XOM US Equity","FREE_CASH_FLOW_PER_SH","FQ3 1998","FQ3 1998","Currency=USD","Period=FQ","BEST_FPERIOD_OVERRIDE=FQ","FILING_STATUS=OR","Sort=A","Dates=H","DateFormat=P","Fill=—","Direction=H","UseDPDF=Y")</f>
        <v>0.28810000000000002</v>
      </c>
      <c r="D49" s="14">
        <f>_xll.BDH("XOM US Equity","FREE_CASH_FLOW_PER_SH","FQ4 1998","FQ4 1998","Currency=USD","Period=FQ","BEST_FPERIOD_OVERRIDE=FQ","FILING_STATUS=OR","Sort=A","Dates=H","DateFormat=P","Fill=—","Direction=H","UseDPDF=Y")</f>
        <v>3.8899999999999997E-2</v>
      </c>
      <c r="E49" s="14">
        <f>_xll.BDH("XOM US Equity","FREE_CASH_FLOW_PER_SH","FQ1 1999","FQ1 1999","Currency=USD","Period=FQ","BEST_FPERIOD_OVERRIDE=FQ","FILING_STATUS=OR","Sort=A","Dates=H","DateFormat=P","Fill=—","Direction=H","UseDPDF=Y")</f>
        <v>0.18859999999999999</v>
      </c>
      <c r="F49" s="14">
        <f>_xll.BDH("XOM US Equity","FREE_CASH_FLOW_PER_SH","FQ2 1999","FQ2 1999","Currency=USD","Period=FQ","BEST_FPERIOD_OVERRIDE=FQ","FILING_STATUS=OR","Sort=A","Dates=H","DateFormat=P","Fill=—","Direction=H","UseDPDF=Y")</f>
        <v>8.6E-3</v>
      </c>
      <c r="G49" s="14">
        <f>_xll.BDH("XOM US Equity","FREE_CASH_FLOW_PER_SH","FQ3 1999","FQ3 1999","Currency=USD","Period=FQ","BEST_FPERIOD_OVERRIDE=FQ","FILING_STATUS=OR","Sort=A","Dates=H","DateFormat=P","Fill=—","Direction=H","UseDPDF=Y")</f>
        <v>0.23150000000000001</v>
      </c>
      <c r="H49" s="14">
        <f>_xll.BDH("XOM US Equity","FREE_CASH_FLOW_PER_SH","FQ4 1999","FQ4 1999","Currency=USD","Period=FQ","BEST_FPERIOD_OVERRIDE=FQ","FILING_STATUS=OR","Sort=A","Dates=H","DateFormat=P","Fill=—","Direction=H","UseDPDF=Y")</f>
        <v>0.30149999999999999</v>
      </c>
      <c r="I49" s="14">
        <f>_xll.BDH("XOM US Equity","FREE_CASH_FLOW_PER_SH","FQ1 2000","FQ1 2000","Currency=USD","Period=FQ","BEST_FPERIOD_OVERRIDE=FQ","FILING_STATUS=OR","Sort=A","Dates=H","DateFormat=P","Fill=—","Direction=H","UseDPDF=Y")</f>
        <v>0.53490000000000004</v>
      </c>
      <c r="J49" s="14">
        <f>_xll.BDH("XOM US Equity","FREE_CASH_FLOW_PER_SH","FQ2 2000","FQ2 2000","Currency=USD","Period=FQ","BEST_FPERIOD_OVERRIDE=FQ","FILING_STATUS=OR","Sort=A","Dates=H","DateFormat=P","Fill=—","Direction=H","UseDPDF=Y")</f>
        <v>0.56479999999999997</v>
      </c>
      <c r="K49" s="14">
        <f>_xll.BDH("XOM US Equity","FREE_CASH_FLOW_PER_SH","FQ3 2000","FQ3 2000","Currency=USD","Period=FQ","BEST_FPERIOD_OVERRIDE=FQ","FILING_STATUS=OR","Sort=A","Dates=H","DateFormat=P","Fill=—","Direction=H","UseDPDF=Y")</f>
        <v>0.48459999999999998</v>
      </c>
      <c r="L49" s="14">
        <f>_xll.BDH("XOM US Equity","FREE_CASH_FLOW_PER_SH","FQ4 2000","FQ4 2000","Currency=USD","Period=FQ","BEST_FPERIOD_OVERRIDE=FQ","FILING_STATUS=OR","Sort=A","Dates=H","DateFormat=P","Fill=—","Direction=H","UseDPDF=Y")</f>
        <v>0.49940000000000001</v>
      </c>
      <c r="M49" s="14">
        <f>_xll.BDH("XOM US Equity","FREE_CASH_FLOW_PER_SH","FQ1 2001","FQ1 2001","Currency=USD","Period=FQ","BEST_FPERIOD_OVERRIDE=FQ","FILING_STATUS=OR","Sort=A","Dates=H","DateFormat=P","Fill=—","Direction=H","UseDPDF=Y")</f>
        <v>0.96950000000000003</v>
      </c>
      <c r="N49" s="14">
        <f>_xll.BDH("XOM US Equity","FREE_CASH_FLOW_PER_SH","FQ2 2001","FQ2 2001","Currency=USD","Period=FQ","BEST_FPERIOD_OVERRIDE=FQ","FILING_STATUS=OR","Sort=A","Dates=H","DateFormat=P","Fill=—","Direction=H","UseDPDF=Y")</f>
        <v>0.46100000000000002</v>
      </c>
      <c r="O49" s="14">
        <f>_xll.BDH("XOM US Equity","FREE_CASH_FLOW_PER_SH","FQ3 2001","FQ3 2001","Currency=USD","Period=FQ","BEST_FPERIOD_OVERRIDE=FQ","FILING_STATUS=OR","Sort=A","Dates=H","DateFormat=P","Fill=—","Direction=H","UseDPDF=Y")</f>
        <v>0.40310000000000001</v>
      </c>
      <c r="P49" s="14">
        <f>_xll.BDH("XOM US Equity","FREE_CASH_FLOW_PER_SH","FQ4 2001","FQ4 2001","Currency=USD","Period=FQ","BEST_FPERIOD_OVERRIDE=FQ","FILING_STATUS=OR","Sort=A","Dates=H","DateFormat=P","Fill=—","Direction=H","UseDPDF=Y")</f>
        <v>3.8699999999999998E-2</v>
      </c>
      <c r="Q49" s="14">
        <f>_xll.BDH("XOM US Equity","FREE_CASH_FLOW_PER_SH","FQ1 2002","FQ1 2002","Currency=USD","Period=FQ","BEST_FPERIOD_OVERRIDE=FQ","FILING_STATUS=OR","Sort=A","Dates=H","DateFormat=P","Fill=—","Direction=H","UseDPDF=Y")</f>
        <v>0.3236</v>
      </c>
      <c r="R49" s="14">
        <f>_xll.BDH("XOM US Equity","FREE_CASH_FLOW_PER_SH","FQ2 2002","FQ2 2002","Currency=USD","Period=FQ","BEST_FPERIOD_OVERRIDE=FQ","FILING_STATUS=OR","Sort=A","Dates=H","DateFormat=P","Fill=—","Direction=H","UseDPDF=Y")</f>
        <v>0.189</v>
      </c>
      <c r="S49" s="14">
        <f>_xll.BDH("XOM US Equity","FREE_CASH_FLOW_PER_SH","FQ3 2002","FQ3 2002","Currency=USD","Period=FQ","BEST_FPERIOD_OVERRIDE=FQ","FILING_STATUS=OR","Sort=A","Dates=H","DateFormat=P","Fill=—","Direction=H","UseDPDF=Y")</f>
        <v>0.67730000000000001</v>
      </c>
      <c r="T49" s="14">
        <f>_xll.BDH("XOM US Equity","FREE_CASH_FLOW_PER_SH","FQ4 2002","FQ4 2002","Currency=USD","Period=FQ","BEST_FPERIOD_OVERRIDE=FQ","FILING_STATUS=OR","Sort=A","Dates=H","DateFormat=P","Fill=—","Direction=H","UseDPDF=Y")</f>
        <v>0.26650000000000001</v>
      </c>
      <c r="U49" s="14">
        <f>_xll.BDH("XOM US Equity","FREE_CASH_FLOW_PER_SH","FQ1 2003","FQ1 2003","Currency=USD","Period=FQ","BEST_FPERIOD_OVERRIDE=FQ","FILING_STATUS=OR","Sort=A","Dates=H","DateFormat=P","Fill=—","Direction=H","UseDPDF=Y")</f>
        <v>0.85409999999999997</v>
      </c>
      <c r="V49" s="14">
        <f>_xll.BDH("XOM US Equity","FREE_CASH_FLOW_PER_SH","FQ2 2003","FQ2 2003","Currency=USD","Period=FQ","BEST_FPERIOD_OVERRIDE=FQ","FILING_STATUS=OR","Sort=A","Dates=H","DateFormat=P","Fill=—","Direction=H","UseDPDF=Y")</f>
        <v>0.60940000000000005</v>
      </c>
      <c r="W49" s="14">
        <f>_xll.BDH("XOM US Equity","FREE_CASH_FLOW_PER_SH","FQ3 2003","FQ3 2003","Currency=USD","Period=FQ","BEST_FPERIOD_OVERRIDE=FQ","FILING_STATUS=OR","Sort=A","Dates=H","DateFormat=P","Fill=—","Direction=H","UseDPDF=Y")</f>
        <v>0.39750000000000002</v>
      </c>
      <c r="X49" s="14">
        <f>_xll.BDH("XOM US Equity","FREE_CASH_FLOW_PER_SH","FQ4 2003","FQ4 2003","Currency=USD","Period=FQ","BEST_FPERIOD_OVERRIDE=FQ","FILING_STATUS=OR","Sort=A","Dates=H","DateFormat=P","Fill=—","Direction=H","UseDPDF=Y")</f>
        <v>0.49320000000000003</v>
      </c>
      <c r="Y49" s="14">
        <f>_xll.BDH("XOM US Equity","FREE_CASH_FLOW_PER_SH","FQ1 2004","FQ1 2004","Currency=USD","Period=FQ","BEST_FPERIOD_OVERRIDE=FQ","FILING_STATUS=OR","Sort=A","Dates=H","DateFormat=P","Fill=—","Direction=H","UseDPDF=Y")</f>
        <v>1.1197999999999999</v>
      </c>
      <c r="Z49" s="14">
        <f>_xll.BDH("XOM US Equity","FREE_CASH_FLOW_PER_SH","FQ2 2004","FQ2 2004","Currency=USD","Period=FQ","BEST_FPERIOD_OVERRIDE=FQ","FILING_STATUS=OR","Sort=A","Dates=H","DateFormat=P","Fill=—","Direction=H","UseDPDF=Y")</f>
        <v>0.87919999999999998</v>
      </c>
      <c r="AA49" s="14">
        <f>_xll.BDH("XOM US Equity","FREE_CASH_FLOW_PER_SH","FQ3 2004","FQ3 2004","Currency=USD","Period=FQ","BEST_FPERIOD_OVERRIDE=FQ","FILING_STATUS=OR","Sort=A","Dates=H","DateFormat=P","Fill=—","Direction=H","UseDPDF=Y")</f>
        <v>1.0235000000000001</v>
      </c>
      <c r="AB49" s="14">
        <f>_xll.BDH("XOM US Equity","FREE_CASH_FLOW_PER_SH","FQ4 2004","FQ4 2004","Currency=USD","Period=FQ","BEST_FPERIOD_OVERRIDE=FQ","FILING_STATUS=OR","Sort=A","Dates=H","DateFormat=P","Fill=—","Direction=H","UseDPDF=Y")</f>
        <v>1.3884000000000001</v>
      </c>
      <c r="AC49" s="14">
        <f>_xll.BDH("XOM US Equity","FREE_CASH_FLOW_PER_SH","FQ1 2005","FQ1 2005","Currency=USD","Period=FQ","BEST_FPERIOD_OVERRIDE=FQ","FILING_STATUS=OR","Sort=A","Dates=H","DateFormat=P","Fill=—","Direction=H","UseDPDF=Y")</f>
        <v>1.6112</v>
      </c>
      <c r="AD49" s="14">
        <f>_xll.BDH("XOM US Equity","FREE_CASH_FLOW_PER_SH","FQ2 2005","FQ2 2005","Currency=USD","Period=FQ","BEST_FPERIOD_OVERRIDE=FQ","FILING_STATUS=OR","Sort=A","Dates=H","DateFormat=P","Fill=—","Direction=H","UseDPDF=Y")</f>
        <v>0.83650000000000002</v>
      </c>
      <c r="AE49" s="14">
        <f>_xll.BDH("XOM US Equity","FREE_CASH_FLOW_PER_SH","FQ3 2005","FQ3 2005","Currency=USD","Period=FQ","BEST_FPERIOD_OVERRIDE=FQ","FILING_STATUS=OR","Sort=A","Dates=H","DateFormat=P","Fill=—","Direction=H","UseDPDF=Y")</f>
        <v>1.9668000000000001</v>
      </c>
      <c r="AF49" s="14">
        <f>_xll.BDH("XOM US Equity","FREE_CASH_FLOW_PER_SH","FQ4 2005","FQ4 2005","Currency=USD","Period=FQ","BEST_FPERIOD_OVERRIDE=FQ","FILING_STATUS=OR","Sort=A","Dates=H","DateFormat=P","Fill=—","Direction=H","UseDPDF=Y")</f>
        <v>1.0426</v>
      </c>
      <c r="AG49" s="14">
        <f>_xll.BDH("XOM US Equity","FREE_CASH_FLOW_PER_SH","FQ1 2006","FQ1 2006","Currency=USD","Period=FQ","BEST_FPERIOD_OVERRIDE=FQ","FILING_STATUS=OR","Sort=A","Dates=H","DateFormat=P","Fill=—","Direction=H","UseDPDF=Y")</f>
        <v>1.7965</v>
      </c>
      <c r="AH49" s="14">
        <f>_xll.BDH("XOM US Equity","FREE_CASH_FLOW_PER_SH","FQ2 2006","FQ2 2006","Currency=USD","Period=FQ","BEST_FPERIOD_OVERRIDE=FQ","FILING_STATUS=OR","Sort=A","Dates=H","DateFormat=P","Fill=—","Direction=H","UseDPDF=Y")</f>
        <v>1.18</v>
      </c>
      <c r="AI49" s="14">
        <f>_xll.BDH("XOM US Equity","FREE_CASH_FLOW_PER_SH","FQ3 2006","FQ3 2006","Currency=USD","Period=FQ","BEST_FPERIOD_OVERRIDE=FQ","FILING_STATUS=OR","Sort=A","Dates=H","DateFormat=P","Fill=—","Direction=H","UseDPDF=Y")</f>
        <v>1.8395999999999999</v>
      </c>
      <c r="AJ49" s="14">
        <f>_xll.BDH("XOM US Equity","FREE_CASH_FLOW_PER_SH","FQ4 2006","FQ4 2006","Currency=USD","Period=FQ","BEST_FPERIOD_OVERRIDE=FQ","FILING_STATUS=OR","Sort=A","Dates=H","DateFormat=P","Fill=—","Direction=H","UseDPDF=Y")</f>
        <v>0.87980000000000003</v>
      </c>
      <c r="AK49" s="14">
        <f>_xll.BDH("XOM US Equity","FREE_CASH_FLOW_PER_SH","FQ1 2007","FQ1 2007","Currency=USD","Period=FQ","BEST_FPERIOD_OVERRIDE=FQ","FILING_STATUS=OR","Sort=A","Dates=H","DateFormat=P","Fill=—","Direction=H","UseDPDF=Y")</f>
        <v>1.9788000000000001</v>
      </c>
      <c r="AL49" s="14">
        <f>_xll.BDH("XOM US Equity","FREE_CASH_FLOW_PER_SH","FQ2 2007","FQ2 2007","Currency=USD","Period=FQ","BEST_FPERIOD_OVERRIDE=FQ","FILING_STATUS=OR","Sort=A","Dates=H","DateFormat=P","Fill=—","Direction=H","UseDPDF=Y")</f>
        <v>1.3559000000000001</v>
      </c>
      <c r="AM49" s="14">
        <f>_xll.BDH("XOM US Equity","FREE_CASH_FLOW_PER_SH","FQ3 2007","FQ3 2007","Currency=USD","Period=FQ","BEST_FPERIOD_OVERRIDE=FQ","FILING_STATUS=OR","Sort=A","Dates=H","DateFormat=P","Fill=—","Direction=H","UseDPDF=Y")</f>
        <v>2.0344000000000002</v>
      </c>
      <c r="AN49" s="14">
        <f>_xll.BDH("XOM US Equity","FREE_CASH_FLOW_PER_SH","FQ4 2007","FQ4 2007","Currency=USD","Period=FQ","BEST_FPERIOD_OVERRIDE=FQ","FILING_STATUS=OR","Sort=A","Dates=H","DateFormat=P","Fill=—","Direction=H","UseDPDF=Y")</f>
        <v>1.2493000000000001</v>
      </c>
      <c r="AO49" s="14">
        <f>_xll.BDH("XOM US Equity","FREE_CASH_FLOW_PER_SH","FQ1 2008","FQ1 2008","Currency=USD","Period=FQ","BEST_FPERIOD_OVERRIDE=FQ","FILING_STATUS=OR","Sort=A","Dates=H","DateFormat=P","Fill=—","Direction=H","UseDPDF=Y")</f>
        <v>3.2900999999999998</v>
      </c>
      <c r="AP49" s="14">
        <f>_xll.BDH("XOM US Equity","FREE_CASH_FLOW_PER_SH","FQ2 2008","FQ2 2008","Currency=USD","Period=FQ","BEST_FPERIOD_OVERRIDE=FQ","FILING_STATUS=OR","Sort=A","Dates=H","DateFormat=P","Fill=—","Direction=H","UseDPDF=Y")</f>
        <v>1.6431</v>
      </c>
    </row>
    <row r="50" spans="1:42" x14ac:dyDescent="0.25">
      <c r="A50" s="10" t="s">
        <v>350</v>
      </c>
      <c r="B50" s="10" t="s">
        <v>351</v>
      </c>
      <c r="C50" s="14">
        <f>_xll.BDH("XOM US Equity","PX_TO_FREE_CASH_FLOW","FQ3 1998","FQ3 1998","Currency=USD","Period=FQ","BEST_FPERIOD_OVERRIDE=FQ","FILING_STATUS=OR","Sort=A","Dates=H","DateFormat=P","Fill=—","Direction=H","UseDPDF=Y")</f>
        <v>41.826599999999999</v>
      </c>
      <c r="D50" s="14">
        <f>_xll.BDH("XOM US Equity","PX_TO_FREE_CASH_FLOW","FQ4 1998","FQ4 1998","Currency=USD","Period=FQ","BEST_FPERIOD_OVERRIDE=FQ","FILING_STATUS=OR","Sort=A","Dates=H","DateFormat=P","Fill=—","Direction=H","UseDPDF=Y")</f>
        <v>48.188600000000001</v>
      </c>
      <c r="E50" s="14">
        <f>_xll.BDH("XOM US Equity","PX_TO_FREE_CASH_FLOW","FQ1 1999","FQ1 1999","Currency=USD","Period=FQ","BEST_FPERIOD_OVERRIDE=FQ","FILING_STATUS=OR","Sort=A","Dates=H","DateFormat=P","Fill=—","Direction=H","UseDPDF=Y")</f>
        <v>52.821300000000001</v>
      </c>
      <c r="F50" s="14">
        <f>_xll.BDH("XOM US Equity","PX_TO_FREE_CASH_FLOW","FQ2 1999","FQ2 1999","Currency=USD","Period=FQ","BEST_FPERIOD_OVERRIDE=FQ","FILING_STATUS=OR","Sort=A","Dates=H","DateFormat=P","Fill=—","Direction=H","UseDPDF=Y")</f>
        <v>101.9796</v>
      </c>
      <c r="G50" s="14">
        <f>_xll.BDH("XOM US Equity","PX_TO_FREE_CASH_FLOW","FQ3 1999","FQ3 1999","Currency=USD","Period=FQ","BEST_FPERIOD_OVERRIDE=FQ","FILING_STATUS=OR","Sort=A","Dates=H","DateFormat=P","Fill=—","Direction=H","UseDPDF=Y")</f>
        <v>100.53659999999999</v>
      </c>
      <c r="H50" s="14">
        <f>_xll.BDH("XOM US Equity","PX_TO_FREE_CASH_FLOW","FQ4 1999","FQ4 1999","Currency=USD","Period=FQ","BEST_FPERIOD_OVERRIDE=FQ","FILING_STATUS=OR","Sort=A","Dates=H","DateFormat=P","Fill=—","Direction=H","UseDPDF=Y")</f>
        <v>60.08</v>
      </c>
      <c r="I50" s="14">
        <f>_xll.BDH("XOM US Equity","PX_TO_FREE_CASH_FLOW","FQ1 2000","FQ1 2000","Currency=USD","Period=FQ","BEST_FPERIOD_OVERRIDE=FQ","FILING_STATUS=OR","Sort=A","Dates=H","DateFormat=P","Fill=—","Direction=H","UseDPDF=Y")</f>
        <v>34.002600000000001</v>
      </c>
      <c r="J50" s="14">
        <f>_xll.BDH("XOM US Equity","PX_TO_FREE_CASH_FLOW","FQ2 2000","FQ2 2000","Currency=USD","Period=FQ","BEST_FPERIOD_OVERRIDE=FQ","FILING_STATUS=OR","Sort=A","Dates=H","DateFormat=P","Fill=—","Direction=H","UseDPDF=Y")</f>
        <v>23.706299999999999</v>
      </c>
      <c r="K50" s="14">
        <f>_xll.BDH("XOM US Equity","PX_TO_FREE_CASH_FLOW","FQ3 2000","FQ3 2000","Currency=USD","Period=FQ","BEST_FPERIOD_OVERRIDE=FQ","FILING_STATUS=OR","Sort=A","Dates=H","DateFormat=P","Fill=—","Direction=H","UseDPDF=Y")</f>
        <v>23.6252</v>
      </c>
      <c r="L50" s="14">
        <f>_xll.BDH("XOM US Equity","PX_TO_FREE_CASH_FLOW","FQ4 2000","FQ4 2000","Currency=USD","Period=FQ","BEST_FPERIOD_OVERRIDE=FQ","FILING_STATUS=OR","Sort=A","Dates=H","DateFormat=P","Fill=—","Direction=H","UseDPDF=Y")</f>
        <v>20.860700000000001</v>
      </c>
      <c r="M50" s="14">
        <f>_xll.BDH("XOM US Equity","PX_TO_FREE_CASH_FLOW","FQ1 2001","FQ1 2001","Currency=USD","Period=FQ","BEST_FPERIOD_OVERRIDE=FQ","FILING_STATUS=OR","Sort=A","Dates=H","DateFormat=P","Fill=—","Direction=H","UseDPDF=Y")</f>
        <v>16.0823</v>
      </c>
      <c r="N50" s="14">
        <f>_xll.BDH("XOM US Equity","PX_TO_FREE_CASH_FLOW","FQ2 2001","FQ2 2001","Currency=USD","Period=FQ","BEST_FPERIOD_OVERRIDE=FQ","FILING_STATUS=OR","Sort=A","Dates=H","DateFormat=P","Fill=—","Direction=H","UseDPDF=Y")</f>
        <v>18.0885</v>
      </c>
      <c r="O50" s="14">
        <f>_xll.BDH("XOM US Equity","PX_TO_FREE_CASH_FLOW","FQ3 2001","FQ3 2001","Currency=USD","Period=FQ","BEST_FPERIOD_OVERRIDE=FQ","FILING_STATUS=OR","Sort=A","Dates=H","DateFormat=P","Fill=—","Direction=H","UseDPDF=Y")</f>
        <v>16.888300000000001</v>
      </c>
      <c r="P50" s="14">
        <f>_xll.BDH("XOM US Equity","PX_TO_FREE_CASH_FLOW","FQ4 2001","FQ4 2001","Currency=USD","Period=FQ","BEST_FPERIOD_OVERRIDE=FQ","FILING_STATUS=OR","Sort=A","Dates=H","DateFormat=P","Fill=—","Direction=H","UseDPDF=Y")</f>
        <v>20.9908</v>
      </c>
      <c r="Q50" s="14">
        <f>_xll.BDH("XOM US Equity","PX_TO_FREE_CASH_FLOW","FQ1 2002","FQ1 2002","Currency=USD","Period=FQ","BEST_FPERIOD_OVERRIDE=FQ","FILING_STATUS=OR","Sort=A","Dates=H","DateFormat=P","Fill=—","Direction=H","UseDPDF=Y")</f>
        <v>35.740299999999998</v>
      </c>
      <c r="R50" s="14">
        <f>_xll.BDH("XOM US Equity","PX_TO_FREE_CASH_FLOW","FQ2 2002","FQ2 2002","Currency=USD","Period=FQ","BEST_FPERIOD_OVERRIDE=FQ","FILING_STATUS=OR","Sort=A","Dates=H","DateFormat=P","Fill=—","Direction=H","UseDPDF=Y")</f>
        <v>42.876899999999999</v>
      </c>
      <c r="S50" s="14">
        <f>_xll.BDH("XOM US Equity","PX_TO_FREE_CASH_FLOW","FQ3 2002","FQ3 2002","Currency=USD","Period=FQ","BEST_FPERIOD_OVERRIDE=FQ","FILING_STATUS=OR","Sort=A","Dates=H","DateFormat=P","Fill=—","Direction=H","UseDPDF=Y")</f>
        <v>25.965199999999999</v>
      </c>
      <c r="T50" s="14">
        <f>_xll.BDH("XOM US Equity","PX_TO_FREE_CASH_FLOW","FQ4 2002","FQ4 2002","Currency=USD","Period=FQ","BEST_FPERIOD_OVERRIDE=FQ","FILING_STATUS=OR","Sort=A","Dates=H","DateFormat=P","Fill=—","Direction=H","UseDPDF=Y")</f>
        <v>23.990500000000001</v>
      </c>
      <c r="U50" s="14">
        <f>_xll.BDH("XOM US Equity","PX_TO_FREE_CASH_FLOW","FQ1 2003","FQ1 2003","Currency=USD","Period=FQ","BEST_FPERIOD_OVERRIDE=FQ","FILING_STATUS=OR","Sort=A","Dates=H","DateFormat=P","Fill=—","Direction=H","UseDPDF=Y")</f>
        <v>17.5898</v>
      </c>
      <c r="V50" s="14">
        <f>_xll.BDH("XOM US Equity","PX_TO_FREE_CASH_FLOW","FQ2 2003","FQ2 2003","Currency=USD","Period=FQ","BEST_FPERIOD_OVERRIDE=FQ","FILING_STATUS=OR","Sort=A","Dates=H","DateFormat=P","Fill=—","Direction=H","UseDPDF=Y")</f>
        <v>14.9168</v>
      </c>
      <c r="W50" s="14">
        <f>_xll.BDH("XOM US Equity","PX_TO_FREE_CASH_FLOW","FQ3 2003","FQ3 2003","Currency=USD","Period=FQ","BEST_FPERIOD_OVERRIDE=FQ","FILING_STATUS=OR","Sort=A","Dates=H","DateFormat=P","Fill=—","Direction=H","UseDPDF=Y")</f>
        <v>17.2029</v>
      </c>
      <c r="X50" s="14">
        <f>_xll.BDH("XOM US Equity","PX_TO_FREE_CASH_FLOW","FQ4 2003","FQ4 2003","Currency=USD","Period=FQ","BEST_FPERIOD_OVERRIDE=FQ","FILING_STATUS=OR","Sort=A","Dates=H","DateFormat=P","Fill=—","Direction=H","UseDPDF=Y")</f>
        <v>17.415900000000001</v>
      </c>
      <c r="Y50" s="14">
        <f>_xll.BDH("XOM US Equity","PX_TO_FREE_CASH_FLOW","FQ1 2004","FQ1 2004","Currency=USD","Period=FQ","BEST_FPERIOD_OVERRIDE=FQ","FILING_STATUS=OR","Sort=A","Dates=H","DateFormat=P","Fill=—","Direction=H","UseDPDF=Y")</f>
        <v>15.8749</v>
      </c>
      <c r="Z50" s="14">
        <f>_xll.BDH("XOM US Equity","PX_TO_FREE_CASH_FLOW","FQ2 2004","FQ2 2004","Currency=USD","Period=FQ","BEST_FPERIOD_OVERRIDE=FQ","FILING_STATUS=OR","Sort=A","Dates=H","DateFormat=P","Fill=—","Direction=H","UseDPDF=Y")</f>
        <v>15.3687</v>
      </c>
      <c r="AA50" s="14">
        <f>_xll.BDH("XOM US Equity","PX_TO_FREE_CASH_FLOW","FQ3 2004","FQ3 2004","Currency=USD","Period=FQ","BEST_FPERIOD_OVERRIDE=FQ","FILING_STATUS=OR","Sort=A","Dates=H","DateFormat=P","Fill=—","Direction=H","UseDPDF=Y")</f>
        <v>13.747</v>
      </c>
      <c r="AB50" s="14">
        <f>_xll.BDH("XOM US Equity","PX_TO_FREE_CASH_FLOW","FQ4 2004","FQ4 2004","Currency=USD","Period=FQ","BEST_FPERIOD_OVERRIDE=FQ","FILING_STATUS=OR","Sort=A","Dates=H","DateFormat=P","Fill=—","Direction=H","UseDPDF=Y")</f>
        <v>11.6212</v>
      </c>
      <c r="AC50" s="14">
        <f>_xll.BDH("XOM US Equity","PX_TO_FREE_CASH_FLOW","FQ1 2005","FQ1 2005","Currency=USD","Period=FQ","BEST_FPERIOD_OVERRIDE=FQ","FILING_STATUS=OR","Sort=A","Dates=H","DateFormat=P","Fill=—","Direction=H","UseDPDF=Y")</f>
        <v>12.1577</v>
      </c>
      <c r="AD50" s="14">
        <f>_xll.BDH("XOM US Equity","PX_TO_FREE_CASH_FLOW","FQ2 2005","FQ2 2005","Currency=USD","Period=FQ","BEST_FPERIOD_OVERRIDE=FQ","FILING_STATUS=OR","Sort=A","Dates=H","DateFormat=P","Fill=—","Direction=H","UseDPDF=Y")</f>
        <v>11.8263</v>
      </c>
      <c r="AE50" s="14">
        <f>_xll.BDH("XOM US Equity","PX_TO_FREE_CASH_FLOW","FQ3 2005","FQ3 2005","Currency=USD","Period=FQ","BEST_FPERIOD_OVERRIDE=FQ","FILING_STATUS=OR","Sort=A","Dates=H","DateFormat=P","Fill=—","Direction=H","UseDPDF=Y")</f>
        <v>10.9498</v>
      </c>
      <c r="AF50" s="14">
        <f>_xll.BDH("XOM US Equity","PX_TO_FREE_CASH_FLOW","FQ4 2005","FQ4 2005","Currency=USD","Period=FQ","BEST_FPERIOD_OVERRIDE=FQ","FILING_STATUS=OR","Sort=A","Dates=H","DateFormat=P","Fill=—","Direction=H","UseDPDF=Y")</f>
        <v>10.293200000000001</v>
      </c>
      <c r="AG50" s="14">
        <f>_xll.BDH("XOM US Equity","PX_TO_FREE_CASH_FLOW","FQ1 2006","FQ1 2006","Currency=USD","Period=FQ","BEST_FPERIOD_OVERRIDE=FQ","FILING_STATUS=OR","Sort=A","Dates=H","DateFormat=P","Fill=—","Direction=H","UseDPDF=Y")</f>
        <v>10.786300000000001</v>
      </c>
      <c r="AH50" s="14">
        <f>_xll.BDH("XOM US Equity","PX_TO_FREE_CASH_FLOW","FQ2 2006","FQ2 2006","Currency=USD","Period=FQ","BEST_FPERIOD_OVERRIDE=FQ","FILING_STATUS=OR","Sort=A","Dates=H","DateFormat=P","Fill=—","Direction=H","UseDPDF=Y")</f>
        <v>10.2491</v>
      </c>
      <c r="AI50" s="14">
        <f>_xll.BDH("XOM US Equity","PX_TO_FREE_CASH_FLOW","FQ3 2006","FQ3 2006","Currency=USD","Period=FQ","BEST_FPERIOD_OVERRIDE=FQ","FILING_STATUS=OR","Sort=A","Dates=H","DateFormat=P","Fill=—","Direction=H","UseDPDF=Y")</f>
        <v>11.453099999999999</v>
      </c>
      <c r="AJ50" s="14">
        <f>_xll.BDH("XOM US Equity","PX_TO_FREE_CASH_FLOW","FQ4 2006","FQ4 2006","Currency=USD","Period=FQ","BEST_FPERIOD_OVERRIDE=FQ","FILING_STATUS=OR","Sort=A","Dates=H","DateFormat=P","Fill=—","Direction=H","UseDPDF=Y")</f>
        <v>13.4534</v>
      </c>
      <c r="AK50" s="14">
        <f>_xll.BDH("XOM US Equity","PX_TO_FREE_CASH_FLOW","FQ1 2007","FQ1 2007","Currency=USD","Period=FQ","BEST_FPERIOD_OVERRIDE=FQ","FILING_STATUS=OR","Sort=A","Dates=H","DateFormat=P","Fill=—","Direction=H","UseDPDF=Y")</f>
        <v>12.8355</v>
      </c>
      <c r="AL50" s="14">
        <f>_xll.BDH("XOM US Equity","PX_TO_FREE_CASH_FLOW","FQ2 2007","FQ2 2007","Currency=USD","Period=FQ","BEST_FPERIOD_OVERRIDE=FQ","FILING_STATUS=OR","Sort=A","Dates=H","DateFormat=P","Fill=—","Direction=H","UseDPDF=Y")</f>
        <v>13.8551</v>
      </c>
      <c r="AM50" s="14">
        <f>_xll.BDH("XOM US Equity","PX_TO_FREE_CASH_FLOW","FQ3 2007","FQ3 2007","Currency=USD","Period=FQ","BEST_FPERIOD_OVERRIDE=FQ","FILING_STATUS=OR","Sort=A","Dates=H","DateFormat=P","Fill=—","Direction=H","UseDPDF=Y")</f>
        <v>14.8123</v>
      </c>
      <c r="AN50" s="14">
        <f>_xll.BDH("XOM US Equity","PX_TO_FREE_CASH_FLOW","FQ4 2007","FQ4 2007","Currency=USD","Period=FQ","BEST_FPERIOD_OVERRIDE=FQ","FILING_STATUS=OR","Sort=A","Dates=H","DateFormat=P","Fill=—","Direction=H","UseDPDF=Y")</f>
        <v>14.1561</v>
      </c>
      <c r="AO50" s="14">
        <f>_xll.BDH("XOM US Equity","PX_TO_FREE_CASH_FLOW","FQ1 2008","FQ1 2008","Currency=USD","Period=FQ","BEST_FPERIOD_OVERRIDE=FQ","FILING_STATUS=OR","Sort=A","Dates=H","DateFormat=P","Fill=—","Direction=H","UseDPDF=Y")</f>
        <v>10.6662</v>
      </c>
      <c r="AP50" s="14">
        <f>_xll.BDH("XOM US Equity","PX_TO_FREE_CASH_FLOW","FQ2 2008","FQ2 2008","Currency=USD","Period=FQ","BEST_FPERIOD_OVERRIDE=FQ","FILING_STATUS=OR","Sort=A","Dates=H","DateFormat=P","Fill=—","Direction=H","UseDPDF=Y")</f>
        <v>10.7254</v>
      </c>
    </row>
    <row r="51" spans="1:42" x14ac:dyDescent="0.25">
      <c r="A51" s="10" t="s">
        <v>352</v>
      </c>
      <c r="B51" s="10" t="s">
        <v>353</v>
      </c>
      <c r="C51" s="14">
        <f>_xll.BDH("XOM US Equity","CASH_FLOW_TO_NET_INC","FQ3 1998","FQ3 1998","Currency=USD","Period=FQ","BEST_FPERIOD_OVERRIDE=FQ","FILING_STATUS=OR","FA_ADJUSTED=GAAP","Sort=A","Dates=H","DateFormat=P","Fill=—","Direction=H","UseDPDF=Y")</f>
        <v>2.5764</v>
      </c>
      <c r="D51" s="14">
        <f>_xll.BDH("XOM US Equity","CASH_FLOW_TO_NET_INC","FQ4 1998","FQ4 1998","Currency=USD","Period=FQ","BEST_FPERIOD_OVERRIDE=FQ","FILING_STATUS=OR","FA_ADJUSTED=GAAP","Sort=A","Dates=H","DateFormat=P","Fill=—","Direction=H","UseDPDF=Y")</f>
        <v>4.6300999999999997</v>
      </c>
      <c r="E51" s="14">
        <f>_xll.BDH("XOM US Equity","CASH_FLOW_TO_NET_INC","FQ1 1999","FQ1 1999","Currency=USD","Period=FQ","BEST_FPERIOD_OVERRIDE=FQ","FILING_STATUS=OR","FA_ADJUSTED=GAAP","Sort=A","Dates=H","DateFormat=P","Fill=—","Direction=H","UseDPDF=Y")</f>
        <v>2.698</v>
      </c>
      <c r="F51" s="14">
        <f>_xll.BDH("XOM US Equity","CASH_FLOW_TO_NET_INC","FQ2 1999","FQ2 1999","Currency=USD","Period=FQ","BEST_FPERIOD_OVERRIDE=FQ","FILING_STATUS=OR","FA_ADJUSTED=GAAP","Sort=A","Dates=H","DateFormat=P","Fill=—","Direction=H","UseDPDF=Y")</f>
        <v>1.8988</v>
      </c>
      <c r="G51" s="14">
        <f>_xll.BDH("XOM US Equity","CASH_FLOW_TO_NET_INC","FQ3 1999","FQ3 1999","Currency=USD","Period=FQ","BEST_FPERIOD_OVERRIDE=FQ","FILING_STATUS=OR","FA_ADJUSTED=GAAP","Sort=A","Dates=H","DateFormat=P","Fill=—","Direction=H","UseDPDF=Y")</f>
        <v>1.8780000000000001</v>
      </c>
      <c r="H51" s="14">
        <f>_xll.BDH("XOM US Equity","CASH_FLOW_TO_NET_INC","FQ4 1999","FQ4 1999","Currency=USD","Period=FQ","BEST_FPERIOD_OVERRIDE=FQ","FILING_STATUS=OR","FA_ADJUSTED=GAAP","Sort=A","Dates=H","DateFormat=P","Fill=—","Direction=H","UseDPDF=Y")</f>
        <v>1.7099</v>
      </c>
      <c r="I51" s="14">
        <f>_xll.BDH("XOM US Equity","CASH_FLOW_TO_NET_INC","FQ1 2000","FQ1 2000","Currency=USD","Period=FQ","BEST_FPERIOD_OVERRIDE=FQ","FILING_STATUS=OR","FA_ADJUSTED=GAAP","Sort=A","Dates=H","DateFormat=P","Fill=—","Direction=H","UseDPDF=Y")</f>
        <v>1.5775999999999999</v>
      </c>
      <c r="J51" s="14">
        <f>_xll.BDH("XOM US Equity","CASH_FLOW_TO_NET_INC","FQ2 2000","FQ2 2000","Currency=USD","Period=FQ","BEST_FPERIOD_OVERRIDE=FQ","FILING_STATUS=OR","FA_ADJUSTED=GAAP","Sort=A","Dates=H","DateFormat=P","Fill=—","Direction=H","UseDPDF=Y")</f>
        <v>1.3166</v>
      </c>
      <c r="K51" s="14">
        <f>_xll.BDH("XOM US Equity","CASH_FLOW_TO_NET_INC","FQ3 2000","FQ3 2000","Currency=USD","Period=FQ","BEST_FPERIOD_OVERRIDE=FQ","FILING_STATUS=OR","FA_ADJUSTED=GAAP","Sort=A","Dates=H","DateFormat=P","Fill=—","Direction=H","UseDPDF=Y")</f>
        <v>1.2044999999999999</v>
      </c>
      <c r="L51" s="14">
        <f>_xll.BDH("XOM US Equity","CASH_FLOW_TO_NET_INC","FQ4 2000","FQ4 2000","Currency=USD","Period=FQ","BEST_FPERIOD_OVERRIDE=FQ","FILING_STATUS=OR","FA_ADJUSTED=GAAP","Sort=A","Dates=H","DateFormat=P","Fill=—","Direction=H","UseDPDF=Y")</f>
        <v>1.1637999999999999</v>
      </c>
      <c r="M51" s="14">
        <f>_xll.BDH("XOM US Equity","CASH_FLOW_TO_NET_INC","FQ1 2001","FQ1 2001","Currency=USD","Period=FQ","BEST_FPERIOD_OVERRIDE=FQ","FILING_STATUS=OR","FA_ADJUSTED=GAAP","Sort=A","Dates=H","DateFormat=P","Fill=—","Direction=H","UseDPDF=Y")</f>
        <v>1.7458</v>
      </c>
      <c r="N51" s="14">
        <f>_xll.BDH("XOM US Equity","CASH_FLOW_TO_NET_INC","FQ2 2001","FQ2 2001","Currency=USD","Period=FQ","BEST_FPERIOD_OVERRIDE=FQ","FILING_STATUS=OR","FA_ADJUSTED=GAAP","Sort=A","Dates=H","DateFormat=P","Fill=—","Direction=H","UseDPDF=Y")</f>
        <v>1.2364999999999999</v>
      </c>
      <c r="O51" s="14">
        <f>_xll.BDH("XOM US Equity","CASH_FLOW_TO_NET_INC","FQ3 2001","FQ3 2001","Currency=USD","Period=FQ","BEST_FPERIOD_OVERRIDE=FQ","FILING_STATUS=OR","FA_ADJUSTED=GAAP","Sort=A","Dates=H","DateFormat=P","Fill=—","Direction=H","UseDPDF=Y")</f>
        <v>1.6524999999999999</v>
      </c>
      <c r="P51" s="14">
        <f>_xll.BDH("XOM US Equity","CASH_FLOW_TO_NET_INC","FQ4 2001","FQ4 2001","Currency=USD","Period=FQ","BEST_FPERIOD_OVERRIDE=FQ","FILING_STATUS=OR","FA_ADJUSTED=GAAP","Sort=A","Dates=H","DateFormat=P","Fill=—","Direction=H","UseDPDF=Y")</f>
        <v>1.2648999999999999</v>
      </c>
      <c r="Q51" s="14">
        <f>_xll.BDH("XOM US Equity","CASH_FLOW_TO_NET_INC","FQ1 2002","FQ1 2002","Currency=USD","Period=FQ","BEST_FPERIOD_OVERRIDE=FQ","FILING_STATUS=OR","FA_ADJUSTED=GAAP","Sort=A","Dates=H","DateFormat=P","Fill=—","Direction=H","UseDPDF=Y")</f>
        <v>2.2124000000000001</v>
      </c>
      <c r="R51" s="14">
        <f>_xll.BDH("XOM US Equity","CASH_FLOW_TO_NET_INC","FQ2 2002","FQ2 2002","Currency=USD","Period=FQ","BEST_FPERIOD_OVERRIDE=FQ","FILING_STATUS=OR","FA_ADJUSTED=GAAP","Sort=A","Dates=H","DateFormat=P","Fill=—","Direction=H","UseDPDF=Y")</f>
        <v>1.5590999999999999</v>
      </c>
      <c r="S51" s="14">
        <f>_xll.BDH("XOM US Equity","CASH_FLOW_TO_NET_INC","FQ3 2002","FQ3 2002","Currency=USD","Period=FQ","BEST_FPERIOD_OVERRIDE=FQ","FILING_STATUS=OR","FA_ADJUSTED=GAAP","Sort=A","Dates=H","DateFormat=P","Fill=—","Direction=H","UseDPDF=Y")</f>
        <v>2.8216000000000001</v>
      </c>
      <c r="T51" s="14">
        <f>_xll.BDH("XOM US Equity","CASH_FLOW_TO_NET_INC","FQ4 2002","FQ4 2002","Currency=USD","Period=FQ","BEST_FPERIOD_OVERRIDE=FQ","FILING_STATUS=OR","FA_ADJUSTED=GAAP","Sort=A","Dates=H","DateFormat=P","Fill=—","Direction=H","UseDPDF=Y")</f>
        <v>1.2418</v>
      </c>
      <c r="U51" s="14">
        <f>_xll.BDH("XOM US Equity","CASH_FLOW_TO_NET_INC","FQ1 2003","FQ1 2003","Currency=USD","Period=FQ","BEST_FPERIOD_OVERRIDE=FQ","FILING_STATUS=OR","FA_ADJUSTED=GAAP","Sort=A","Dates=H","DateFormat=P","Fill=—","Direction=H","UseDPDF=Y")</f>
        <v>1.2281</v>
      </c>
      <c r="V51" s="14">
        <f>_xll.BDH("XOM US Equity","CASH_FLOW_TO_NET_INC","FQ2 2003","FQ2 2003","Currency=USD","Period=FQ","BEST_FPERIOD_OVERRIDE=FQ","FILING_STATUS=OR","FA_ADJUSTED=GAAP","Sort=A","Dates=H","DateFormat=P","Fill=—","Direction=H","UseDPDF=Y")</f>
        <v>1.7624</v>
      </c>
      <c r="W51" s="14">
        <f>_xll.BDH("XOM US Equity","CASH_FLOW_TO_NET_INC","FQ3 2003","FQ3 2003","Currency=USD","Period=FQ","BEST_FPERIOD_OVERRIDE=FQ","FILING_STATUS=OR","FA_ADJUSTED=GAAP","Sort=A","Dates=H","DateFormat=P","Fill=—","Direction=H","UseDPDF=Y")</f>
        <v>1.5627</v>
      </c>
      <c r="X51" s="14">
        <f>_xll.BDH("XOM US Equity","CASH_FLOW_TO_NET_INC","FQ4 2003","FQ4 2003","Currency=USD","Period=FQ","BEST_FPERIOD_OVERRIDE=FQ","FILING_STATUS=OR","FA_ADJUSTED=GAAP","Sort=A","Dates=H","DateFormat=P","Fill=—","Direction=H","UseDPDF=Y")</f>
        <v>1.0224</v>
      </c>
      <c r="Y51" s="14">
        <f>_xll.BDH("XOM US Equity","CASH_FLOW_TO_NET_INC","FQ1 2004","FQ1 2004","Currency=USD","Period=FQ","BEST_FPERIOD_OVERRIDE=FQ","FILING_STATUS=OR","FA_ADJUSTED=GAAP","Sort=A","Dates=H","DateFormat=P","Fill=—","Direction=H","UseDPDF=Y")</f>
        <v>1.8635999999999999</v>
      </c>
      <c r="Z51" s="14">
        <f>_xll.BDH("XOM US Equity","CASH_FLOW_TO_NET_INC","FQ2 2004","FQ2 2004","Currency=USD","Period=FQ","BEST_FPERIOD_OVERRIDE=FQ","FILING_STATUS=OR","FA_ADJUSTED=GAAP","Sort=A","Dates=H","DateFormat=P","Fill=—","Direction=H","UseDPDF=Y")</f>
        <v>1.4943</v>
      </c>
      <c r="AA51" s="14">
        <f>_xll.BDH("XOM US Equity","CASH_FLOW_TO_NET_INC","FQ3 2004","FQ3 2004","Currency=USD","Period=FQ","BEST_FPERIOD_OVERRIDE=FQ","FILING_STATUS=OR","FA_ADJUSTED=GAAP","Sort=A","Dates=H","DateFormat=P","Fill=—","Direction=H","UseDPDF=Y")</f>
        <v>1.6642999999999999</v>
      </c>
      <c r="AB51" s="14">
        <f>_xll.BDH("XOM US Equity","CASH_FLOW_TO_NET_INC","FQ4 2004","FQ4 2004","Currency=USD","Period=FQ","BEST_FPERIOD_OVERRIDE=FQ","FILING_STATUS=OR","FA_ADJUSTED=GAAP","Sort=A","Dates=H","DateFormat=P","Fill=—","Direction=H","UseDPDF=Y")</f>
        <v>1.4618</v>
      </c>
      <c r="AC51" s="14">
        <f>_xll.BDH("XOM US Equity","CASH_FLOW_TO_NET_INC","FQ1 2005","FQ1 2005","Currency=USD","Period=FQ","BEST_FPERIOD_OVERRIDE=FQ","FILING_STATUS=OR","FA_ADJUSTED=GAAP","Sort=A","Dates=H","DateFormat=P","Fill=—","Direction=H","UseDPDF=Y")</f>
        <v>1.6499000000000001</v>
      </c>
      <c r="AD51" s="14">
        <f>_xll.BDH("XOM US Equity","CASH_FLOW_TO_NET_INC","FQ2 2005","FQ2 2005","Currency=USD","Period=FQ","BEST_FPERIOD_OVERRIDE=FQ","FILING_STATUS=OR","FA_ADJUSTED=GAAP","Sort=A","Dates=H","DateFormat=P","Fill=—","Direction=H","UseDPDF=Y")</f>
        <v>1.1797</v>
      </c>
      <c r="AE51" s="14">
        <f>_xll.BDH("XOM US Equity","CASH_FLOW_TO_NET_INC","FQ3 2005","FQ3 2005","Currency=USD","Period=FQ","BEST_FPERIOD_OVERRIDE=FQ","FILING_STATUS=OR","FA_ADJUSTED=GAAP","Sort=A","Dates=H","DateFormat=P","Fill=—","Direction=H","UseDPDF=Y")</f>
        <v>1.5893999999999999</v>
      </c>
      <c r="AF51" s="14">
        <f>_xll.BDH("XOM US Equity","CASH_FLOW_TO_NET_INC","FQ4 2005","FQ4 2005","Currency=USD","Period=FQ","BEST_FPERIOD_OVERRIDE=FQ","FILING_STATUS=OR","FA_ADJUSTED=GAAP","Sort=A","Dates=H","DateFormat=P","Fill=—","Direction=H","UseDPDF=Y")</f>
        <v>0.97009999999999996</v>
      </c>
      <c r="AG51" s="14">
        <f>_xll.BDH("XOM US Equity","CASH_FLOW_TO_NET_INC","FQ1 2006","FQ1 2006","Currency=USD","Period=FQ","BEST_FPERIOD_OVERRIDE=FQ","FILING_STATUS=OR","FA_ADJUSTED=GAAP","Sort=A","Dates=H","DateFormat=P","Fill=—","Direction=H","UseDPDF=Y")</f>
        <v>1.7418</v>
      </c>
      <c r="AH51" s="14">
        <f>_xll.BDH("XOM US Equity","CASH_FLOW_TO_NET_INC","FQ2 2006","FQ2 2006","Currency=USD","Period=FQ","BEST_FPERIOD_OVERRIDE=FQ","FILING_STATUS=OR","FA_ADJUSTED=GAAP","Sort=A","Dates=H","DateFormat=P","Fill=—","Direction=H","UseDPDF=Y")</f>
        <v>1.0903</v>
      </c>
      <c r="AI51" s="14">
        <f>_xll.BDH("XOM US Equity","CASH_FLOW_TO_NET_INC","FQ3 2006","FQ3 2006","Currency=USD","Period=FQ","BEST_FPERIOD_OVERRIDE=FQ","FILING_STATUS=OR","FA_ADJUSTED=GAAP","Sort=A","Dates=H","DateFormat=P","Fill=—","Direction=H","UseDPDF=Y")</f>
        <v>1.3820000000000001</v>
      </c>
      <c r="AJ51" s="14">
        <f>_xll.BDH("XOM US Equity","CASH_FLOW_TO_NET_INC","FQ4 2006","FQ4 2006","Currency=USD","Period=FQ","BEST_FPERIOD_OVERRIDE=FQ","FILING_STATUS=OR","FA_ADJUSTED=GAAP","Sort=A","Dates=H","DateFormat=P","Fill=—","Direction=H","UseDPDF=Y")</f>
        <v>0.86460000000000004</v>
      </c>
      <c r="AK51" s="14">
        <f>_xll.BDH("XOM US Equity","CASH_FLOW_TO_NET_INC","FQ1 2007","FQ1 2007","Currency=USD","Period=FQ","BEST_FPERIOD_OVERRIDE=FQ","FILING_STATUS=OR","FA_ADJUSTED=GAAP","Sort=A","Dates=H","DateFormat=P","Fill=—","Direction=H","UseDPDF=Y")</f>
        <v>1.5394000000000001</v>
      </c>
      <c r="AL51" s="14">
        <f>_xll.BDH("XOM US Equity","CASH_FLOW_TO_NET_INC","FQ2 2007","FQ2 2007","Currency=USD","Period=FQ","BEST_FPERIOD_OVERRIDE=FQ","FILING_STATUS=OR","FA_ADJUSTED=GAAP","Sort=A","Dates=H","DateFormat=P","Fill=—","Direction=H","UseDPDF=Y")</f>
        <v>1.1031</v>
      </c>
      <c r="AM51" s="14">
        <f>_xll.BDH("XOM US Equity","CASH_FLOW_TO_NET_INC","FQ3 2007","FQ3 2007","Currency=USD","Period=FQ","BEST_FPERIOD_OVERRIDE=FQ","FILING_STATUS=OR","FA_ADJUSTED=GAAP","Sort=A","Dates=H","DateFormat=P","Fill=—","Direction=H","UseDPDF=Y")</f>
        <v>1.6007</v>
      </c>
      <c r="AN51" s="14">
        <f>_xll.BDH("XOM US Equity","CASH_FLOW_TO_NET_INC","FQ4 2007","FQ4 2007","Currency=USD","Period=FQ","BEST_FPERIOD_OVERRIDE=FQ","FILING_STATUS=OR","FA_ADJUSTED=GAAP","Sort=A","Dates=H","DateFormat=P","Fill=—","Direction=H","UseDPDF=Y")</f>
        <v>0.97209999999999996</v>
      </c>
      <c r="AO51" s="14">
        <f>_xll.BDH("XOM US Equity","CASH_FLOW_TO_NET_INC","FQ1 2008","FQ1 2008","Currency=USD","Period=FQ","BEST_FPERIOD_OVERRIDE=FQ","FILING_STATUS=OR","FA_ADJUSTED=GAAP","Sort=A","Dates=H","DateFormat=P","Fill=—","Direction=H","UseDPDF=Y")</f>
        <v>1.9668999999999999</v>
      </c>
      <c r="AP51" s="14">
        <f>_xll.BDH("XOM US Equity","CASH_FLOW_TO_NET_INC","FQ2 2008","FQ2 2008","Currency=USD","Period=FQ","BEST_FPERIOD_OVERRIDE=FQ","FILING_STATUS=OR","FA_ADJUSTED=GAAP","Sort=A","Dates=H","DateFormat=P","Fill=—","Direction=H","UseDPDF=Y")</f>
        <v>1.1488</v>
      </c>
    </row>
    <row r="52" spans="1:42" x14ac:dyDescent="0.25">
      <c r="A52" s="7" t="s">
        <v>174</v>
      </c>
      <c r="B52" s="7"/>
      <c r="C52" s="7" t="s">
        <v>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354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10" t="s">
        <v>355</v>
      </c>
      <c r="B6" s="10" t="s">
        <v>260</v>
      </c>
      <c r="C6" s="13">
        <f>_xll.BDH("XOM US Equity","BS_SH_OUT","FQ3 1998","FQ3 1998","Currency=USD","Period=FQ","BEST_FPERIOD_OVERRIDE=FQ","FILING_STATUS=OR","Sort=A","Dates=H","DateFormat=P","Fill=—","Direction=H","UseDPDF=Y")</f>
        <v>4862.46</v>
      </c>
      <c r="D6" s="13">
        <f>_xll.BDH("XOM US Equity","BS_SH_OUT","FQ4 1998","FQ4 1998","Currency=USD","Period=FQ","BEST_FPERIOD_OVERRIDE=FQ","FILING_STATUS=OR","Sort=A","Dates=H","DateFormat=P","Fill=—","Direction=H","UseDPDF=Y")</f>
        <v>4856</v>
      </c>
      <c r="E6" s="13">
        <f>_xll.BDH("XOM US Equity","BS_SH_OUT","FQ1 1999","FQ1 1999","Currency=USD","Period=FQ","BEST_FPERIOD_OVERRIDE=FQ","FILING_STATUS=OR","Sort=A","Dates=H","DateFormat=P","Fill=—","Direction=H","UseDPDF=Y")</f>
        <v>4855.5708000000004</v>
      </c>
      <c r="F6" s="13">
        <f>_xll.BDH("XOM US Equity","BS_SH_OUT","FQ2 1999","FQ2 1999","Currency=USD","Period=FQ","BEST_FPERIOD_OVERRIDE=FQ","FILING_STATUS=OR","Sort=A","Dates=H","DateFormat=P","Fill=—","Direction=H","UseDPDF=Y")</f>
        <v>4856</v>
      </c>
      <c r="G6" s="13">
        <f>_xll.BDH("XOM US Equity","BS_SH_OUT","FQ3 1999","FQ3 1999","Currency=USD","Period=FQ","BEST_FPERIOD_OVERRIDE=FQ","FILING_STATUS=OR","Sort=A","Dates=H","DateFormat=P","Fill=—","Direction=H","UseDPDF=Y")</f>
        <v>4855.57</v>
      </c>
      <c r="H6" s="13">
        <f>_xll.BDH("XOM US Equity","BS_SH_OUT","FQ4 1999","FQ4 1999","Currency=USD","Period=FQ","BEST_FPERIOD_OVERRIDE=FQ","FILING_STATUS=OR","Sort=A","Dates=H","DateFormat=P","Fill=—","Direction=H","UseDPDF=Y")</f>
        <v>6954</v>
      </c>
      <c r="I6" s="13">
        <f>_xll.BDH("XOM US Equity","BS_SH_OUT","FQ1 2000","FQ1 2000","Currency=USD","Period=FQ","BEST_FPERIOD_OVERRIDE=FQ","FILING_STATUS=OR","Sort=A","Dates=H","DateFormat=P","Fill=—","Direction=H","UseDPDF=Y")</f>
        <v>6962.2520000000004</v>
      </c>
      <c r="J6" s="13">
        <f>_xll.BDH("XOM US Equity","BS_SH_OUT","FQ2 2000","FQ2 2000","Currency=USD","Period=FQ","BEST_FPERIOD_OVERRIDE=FQ","FILING_STATUS=OR","Sort=A","Dates=H","DateFormat=P","Fill=—","Direction=H","UseDPDF=Y")</f>
        <v>6967.6819999999998</v>
      </c>
      <c r="K6" s="13">
        <f>_xll.BDH("XOM US Equity","BS_SH_OUT","FQ3 2000","FQ3 2000","Currency=USD","Period=FQ","BEST_FPERIOD_OVERRIDE=FQ","FILING_STATUS=OR","Sort=A","Dates=H","DateFormat=P","Fill=—","Direction=H","UseDPDF=Y")</f>
        <v>6952</v>
      </c>
      <c r="L6" s="13">
        <f>_xll.BDH("XOM US Equity","BS_SH_OUT","FQ4 2000","FQ4 2000","Currency=USD","Period=FQ","BEST_FPERIOD_OVERRIDE=FQ","FILING_STATUS=OR","Sort=A","Dates=H","DateFormat=P","Fill=—","Direction=H","UseDPDF=Y")</f>
        <v>6930</v>
      </c>
      <c r="M6" s="13">
        <f>_xll.BDH("XOM US Equity","BS_SH_OUT","FQ1 2001","FQ1 2001","Currency=USD","Period=FQ","BEST_FPERIOD_OVERRIDE=FQ","FILING_STATUS=OR","Sort=A","Dates=H","DateFormat=P","Fill=—","Direction=H","UseDPDF=Y")</f>
        <v>6900</v>
      </c>
      <c r="N6" s="13">
        <f>_xll.BDH("XOM US Equity","BS_SH_OUT","FQ2 2001","FQ2 2001","Currency=USD","Period=FQ","BEST_FPERIOD_OVERRIDE=FQ","FILING_STATUS=OR","Sort=A","Dates=H","DateFormat=P","Fill=—","Direction=H","UseDPDF=Y")</f>
        <v>6835.0789999999997</v>
      </c>
      <c r="O6" s="13">
        <f>_xll.BDH("XOM US Equity","BS_SH_OUT","FQ3 2001","FQ3 2001","Currency=USD","Period=FQ","BEST_FPERIOD_OVERRIDE=FQ","FILING_STATUS=OR","Sort=A","Dates=H","DateFormat=P","Fill=—","Direction=H","UseDPDF=Y")</f>
        <v>6840</v>
      </c>
      <c r="P6" s="13">
        <f>_xll.BDH("XOM US Equity","BS_SH_OUT","FQ4 2001","FQ4 2001","Currency=USD","Period=FQ","BEST_FPERIOD_OVERRIDE=FQ","FILING_STATUS=OR","Sort=A","Dates=H","DateFormat=P","Fill=—","Direction=H","UseDPDF=Y")</f>
        <v>6809</v>
      </c>
      <c r="Q6" s="13">
        <f>_xll.BDH("XOM US Equity","BS_SH_OUT","FQ1 2002","FQ1 2002","Currency=USD","Period=FQ","BEST_FPERIOD_OVERRIDE=FQ","FILING_STATUS=OR","Sort=A","Dates=H","DateFormat=P","Fill=—","Direction=H","UseDPDF=Y")</f>
        <v>6782</v>
      </c>
      <c r="R6" s="13">
        <f>_xll.BDH("XOM US Equity","BS_SH_OUT","FQ2 2002","FQ2 2002","Currency=USD","Period=FQ","BEST_FPERIOD_OVERRIDE=FQ","FILING_STATUS=OR","Sort=A","Dates=H","DateFormat=P","Fill=—","Direction=H","UseDPDF=Y")</f>
        <v>6757</v>
      </c>
      <c r="S6" s="13">
        <f>_xll.BDH("XOM US Equity","BS_SH_OUT","FQ3 2002","FQ3 2002","Currency=USD","Period=FQ","BEST_FPERIOD_OVERRIDE=FQ","FILING_STATUS=OR","Sort=A","Dates=H","DateFormat=P","Fill=—","Direction=H","UseDPDF=Y")</f>
        <v>6729</v>
      </c>
      <c r="T6" s="13">
        <f>_xll.BDH("XOM US Equity","BS_SH_OUT","FQ4 2002","FQ4 2002","Currency=USD","Period=FQ","BEST_FPERIOD_OVERRIDE=FQ","FILING_STATUS=OR","Sort=A","Dates=H","DateFormat=P","Fill=—","Direction=H","UseDPDF=Y")</f>
        <v>6700</v>
      </c>
      <c r="U6" s="13">
        <f>_xll.BDH("XOM US Equity","BS_SH_OUT","FQ1 2003","FQ1 2003","Currency=USD","Period=FQ","BEST_FPERIOD_OVERRIDE=FQ","FILING_STATUS=OR","Sort=A","Dates=H","DateFormat=P","Fill=—","Direction=H","UseDPDF=Y")</f>
        <v>6679.3909999999996</v>
      </c>
      <c r="V6" s="13">
        <f>_xll.BDH("XOM US Equity","BS_SH_OUT","FQ2 2003","FQ2 2003","Currency=USD","Period=FQ","BEST_FPERIOD_OVERRIDE=FQ","FILING_STATUS=OR","Sort=A","Dates=H","DateFormat=P","Fill=—","Direction=H","UseDPDF=Y")</f>
        <v>6652</v>
      </c>
      <c r="W6" s="13">
        <f>_xll.BDH("XOM US Equity","BS_SH_OUT","FQ3 2003","FQ3 2003","Currency=USD","Period=FQ","BEST_FPERIOD_OVERRIDE=FQ","FILING_STATUS=OR","Sort=A","Dates=H","DateFormat=P","Fill=—","Direction=H","UseDPDF=Y")</f>
        <v>6609</v>
      </c>
      <c r="X6" s="13">
        <f>_xll.BDH("XOM US Equity","BS_SH_OUT","FQ4 2003","FQ4 2003","Currency=USD","Period=FQ","BEST_FPERIOD_OVERRIDE=FQ","FILING_STATUS=OR","Sort=A","Dates=H","DateFormat=P","Fill=—","Direction=H","UseDPDF=Y")</f>
        <v>6568</v>
      </c>
      <c r="Y6" s="13">
        <f>_xll.BDH("XOM US Equity","BS_SH_OUT","FQ1 2004","FQ1 2004","Currency=USD","Period=FQ","BEST_FPERIOD_OVERRIDE=FQ","FILING_STATUS=OR","Sort=A","Dates=H","DateFormat=P","Fill=—","Direction=H","UseDPDF=Y")</f>
        <v>6540.0450000000001</v>
      </c>
      <c r="Z6" s="13">
        <f>_xll.BDH("XOM US Equity","BS_SH_OUT","FQ2 2004","FQ2 2004","Currency=USD","Period=FQ","BEST_FPERIOD_OVERRIDE=FQ","FILING_STATUS=OR","Sort=A","Dates=H","DateFormat=P","Fill=—","Direction=H","UseDPDF=Y")</f>
        <v>6505.5070999999998</v>
      </c>
      <c r="AA6" s="13">
        <f>_xll.BDH("XOM US Equity","BS_SH_OUT","FQ3 2004","FQ3 2004","Currency=USD","Period=FQ","BEST_FPERIOD_OVERRIDE=FQ","FILING_STATUS=OR","Sort=A","Dates=H","DateFormat=P","Fill=—","Direction=H","UseDPDF=Y")</f>
        <v>6451.2950000000001</v>
      </c>
      <c r="AB6" s="13">
        <f>_xll.BDH("XOM US Equity","BS_SH_OUT","FQ4 2004","FQ4 2004","Currency=USD","Period=FQ","BEST_FPERIOD_OVERRIDE=FQ","FILING_STATUS=OR","Sort=A","Dates=H","DateFormat=P","Fill=—","Direction=H","UseDPDF=Y")</f>
        <v>6401</v>
      </c>
      <c r="AC6" s="13">
        <f>_xll.BDH("XOM US Equity","BS_SH_OUT","FQ1 2005","FQ1 2005","Currency=USD","Period=FQ","BEST_FPERIOD_OVERRIDE=FQ","FILING_STATUS=OR","Sort=A","Dates=H","DateFormat=P","Fill=—","Direction=H","UseDPDF=Y")</f>
        <v>6365.7344999999996</v>
      </c>
      <c r="AD6" s="13">
        <f>_xll.BDH("XOM US Equity","BS_SH_OUT","FQ2 2005","FQ2 2005","Currency=USD","Period=FQ","BEST_FPERIOD_OVERRIDE=FQ","FILING_STATUS=OR","Sort=A","Dates=H","DateFormat=P","Fill=—","Direction=H","UseDPDF=Y")</f>
        <v>6305.1315999999997</v>
      </c>
      <c r="AE6" s="13">
        <f>_xll.BDH("XOM US Equity","BS_SH_OUT","FQ3 2005","FQ3 2005","Currency=USD","Period=FQ","BEST_FPERIOD_OVERRIDE=FQ","FILING_STATUS=OR","Sort=A","Dates=H","DateFormat=P","Fill=—","Direction=H","UseDPDF=Y")</f>
        <v>6222.3957</v>
      </c>
      <c r="AF6" s="13">
        <f>_xll.BDH("XOM US Equity","BS_SH_OUT","FQ4 2005","FQ4 2005","Currency=USD","Period=FQ","BEST_FPERIOD_OVERRIDE=FQ","FILING_STATUS=OR","Sort=A","Dates=H","DateFormat=P","Fill=—","Direction=H","UseDPDF=Y")</f>
        <v>6133</v>
      </c>
      <c r="AG6" s="13">
        <f>_xll.BDH("XOM US Equity","BS_SH_OUT","FQ1 2006","FQ1 2006","Currency=USD","Period=FQ","BEST_FPERIOD_OVERRIDE=FQ","FILING_STATUS=OR","Sort=A","Dates=H","DateFormat=P","Fill=—","Direction=H","UseDPDF=Y")</f>
        <v>6050</v>
      </c>
      <c r="AH6" s="13">
        <f>_xll.BDH("XOM US Equity","BS_SH_OUT","FQ2 2006","FQ2 2006","Currency=USD","Period=FQ","BEST_FPERIOD_OVERRIDE=FQ","FILING_STATUS=OR","Sort=A","Dates=H","DateFormat=P","Fill=—","Direction=H","UseDPDF=Y")</f>
        <v>5945</v>
      </c>
      <c r="AI6" s="13">
        <f>_xll.BDH("XOM US Equity","BS_SH_OUT","FQ3 2006","FQ3 2006","Currency=USD","Period=FQ","BEST_FPERIOD_OVERRIDE=FQ","FILING_STATUS=OR","Sort=A","Dates=H","DateFormat=P","Fill=—","Direction=H","UseDPDF=Y")</f>
        <v>5832</v>
      </c>
      <c r="AJ6" s="13">
        <f>_xll.BDH("XOM US Equity","BS_SH_OUT","FQ4 2006","FQ4 2006","Currency=USD","Period=FQ","BEST_FPERIOD_OVERRIDE=FQ","FILING_STATUS=OR","Sort=A","Dates=H","DateFormat=P","Fill=—","Direction=H","UseDPDF=Y")</f>
        <v>5729</v>
      </c>
      <c r="AK6" s="13">
        <f>_xll.BDH("XOM US Equity","BS_SH_OUT","FQ1 2007","FQ1 2007","Currency=USD","Period=FQ","BEST_FPERIOD_OVERRIDE=FQ","FILING_STATUS=OR","Sort=A","Dates=H","DateFormat=P","Fill=—","Direction=H","UseDPDF=Y")</f>
        <v>5633</v>
      </c>
      <c r="AL6" s="13">
        <f>_xll.BDH("XOM US Equity","BS_SH_OUT","FQ2 2007","FQ2 2007","Currency=USD","Period=FQ","BEST_FPERIOD_OVERRIDE=FQ","FILING_STATUS=OR","Sort=A","Dates=H","DateFormat=P","Fill=—","Direction=H","UseDPDF=Y")</f>
        <v>5546</v>
      </c>
      <c r="AM6" s="13">
        <f>_xll.BDH("XOM US Equity","BS_SH_OUT","FQ3 2007","FQ3 2007","Currency=USD","Period=FQ","BEST_FPERIOD_OVERRIDE=FQ","FILING_STATUS=OR","Sort=A","Dates=H","DateFormat=P","Fill=—","Direction=H","UseDPDF=Y")</f>
        <v>5463</v>
      </c>
      <c r="AN6" s="13">
        <f>_xll.BDH("XOM US Equity","BS_SH_OUT","FQ4 2007","FQ4 2007","Currency=USD","Period=FQ","BEST_FPERIOD_OVERRIDE=FQ","FILING_STATUS=OR","Sort=A","Dates=H","DateFormat=P","Fill=—","Direction=H","UseDPDF=Y")</f>
        <v>5382</v>
      </c>
      <c r="AO6" s="13">
        <f>_xll.BDH("XOM US Equity","BS_SH_OUT","FQ1 2008","FQ1 2008","Currency=USD","Period=FQ","BEST_FPERIOD_OVERRIDE=FQ","FILING_STATUS=OR","Sort=A","Dates=H","DateFormat=P","Fill=—","Direction=H","UseDPDF=Y")</f>
        <v>5283</v>
      </c>
      <c r="AP6" s="13">
        <f>_xll.BDH("XOM US Equity","BS_SH_OUT","FQ2 2008","FQ2 2008","Currency=USD","Period=FQ","BEST_FPERIOD_OVERRIDE=FQ","FILING_STATUS=OR","Sort=A","Dates=H","DateFormat=P","Fill=—","Direction=H","UseDPDF=Y")</f>
        <v>5194</v>
      </c>
    </row>
    <row r="7" spans="1:42" x14ac:dyDescent="0.25">
      <c r="A7" s="10" t="s">
        <v>141</v>
      </c>
      <c r="B7" s="10" t="s">
        <v>142</v>
      </c>
      <c r="C7" s="13">
        <f>_xll.BDH("XOM US Equity","IS_SH_FOR_DILUTED_EPS","FQ3 1998","FQ3 1998","Currency=USD","Period=FQ","BEST_FPERIOD_OVERRIDE=FQ","FILING_STATUS=OR","Sort=A","Dates=H","DateFormat=P","Fill=—","Direction=H","UseDPDF=Y")</f>
        <v>4930</v>
      </c>
      <c r="D7" s="13">
        <f>_xll.BDH("XOM US Equity","IS_SH_FOR_DILUTED_EPS","FQ4 1998","FQ4 1998","Currency=USD","Period=FQ","BEST_FPERIOD_OVERRIDE=FQ","FILING_STATUS=OR","Sort=A","Dates=H","DateFormat=P","Fill=—","Direction=H","UseDPDF=Y")</f>
        <v>4916</v>
      </c>
      <c r="E7" s="13">
        <f>_xll.BDH("XOM US Equity","IS_SH_FOR_DILUTED_EPS","FQ1 1999","FQ1 1999","Currency=USD","Period=FQ","BEST_FPERIOD_OVERRIDE=FQ","FILING_STATUS=OR","Sort=A","Dates=H","DateFormat=P","Fill=—","Direction=H","UseDPDF=Y")</f>
        <v>4910</v>
      </c>
      <c r="F7" s="13">
        <f>_xll.BDH("XOM US Equity","IS_SH_FOR_DILUTED_EPS","FQ2 1999","FQ2 1999","Currency=USD","Period=FQ","BEST_FPERIOD_OVERRIDE=FQ","FILING_STATUS=OR","Sort=A","Dates=H","DateFormat=P","Fill=—","Direction=H","UseDPDF=Y")</f>
        <v>4914</v>
      </c>
      <c r="G7" s="13">
        <f>_xll.BDH("XOM US Equity","IS_SH_FOR_DILUTED_EPS","FQ3 1999","FQ3 1999","Currency=USD","Period=FQ","BEST_FPERIOD_OVERRIDE=FQ","FILING_STATUS=OR","Sort=A","Dates=H","DateFormat=P","Fill=—","Direction=H","UseDPDF=Y")</f>
        <v>4912</v>
      </c>
      <c r="H7" s="13">
        <f>_xll.BDH("XOM US Equity","IS_SH_FOR_DILUTED_EPS","FQ4 1999","FQ4 1999","Currency=USD","Period=FQ","BEST_FPERIOD_OVERRIDE=FQ","FILING_STATUS=OR","Sort=A","Dates=H","DateFormat=P","Fill=—","Direction=H","UseDPDF=Y")</f>
        <v>6906</v>
      </c>
      <c r="I7" s="13">
        <f>_xll.BDH("XOM US Equity","IS_SH_FOR_DILUTED_EPS","FQ1 2000","FQ1 2000","Currency=USD","Period=FQ","BEST_FPERIOD_OVERRIDE=FQ","FILING_STATUS=OR","Sort=A","Dates=H","DateFormat=P","Fill=—","Direction=H","UseDPDF=Y")</f>
        <v>7044</v>
      </c>
      <c r="J7" s="13">
        <f>_xll.BDH("XOM US Equity","IS_SH_FOR_DILUTED_EPS","FQ2 2000","FQ2 2000","Currency=USD","Period=FQ","BEST_FPERIOD_OVERRIDE=FQ","FILING_STATUS=OR","Sort=A","Dates=H","DateFormat=P","Fill=—","Direction=H","UseDPDF=Y")</f>
        <v>7049</v>
      </c>
      <c r="K7" s="13">
        <f>_xll.BDH("XOM US Equity","IS_SH_FOR_DILUTED_EPS","FQ3 2000","FQ3 2000","Currency=USD","Period=FQ","BEST_FPERIOD_OVERRIDE=FQ","FILING_STATUS=OR","Sort=A","Dates=H","DateFormat=P","Fill=—","Direction=H","UseDPDF=Y")</f>
        <v>7043</v>
      </c>
      <c r="L7" s="13">
        <f>_xll.BDH("XOM US Equity","IS_SH_FOR_DILUTED_EPS","FQ4 2000","FQ4 2000","Currency=USD","Period=FQ","BEST_FPERIOD_OVERRIDE=FQ","FILING_STATUS=OR","Sort=A","Dates=H","DateFormat=P","Fill=—","Direction=H","UseDPDF=Y")</f>
        <v>7027</v>
      </c>
      <c r="M7" s="13">
        <f>_xll.BDH("XOM US Equity","IS_SH_FOR_DILUTED_EPS","FQ1 2001","FQ1 2001","Currency=USD","Period=FQ","BEST_FPERIOD_OVERRIDE=FQ","FILING_STATUS=OR","Sort=A","Dates=H","DateFormat=P","Fill=—","Direction=H","UseDPDF=Y")</f>
        <v>6989</v>
      </c>
      <c r="N7" s="13">
        <f>_xll.BDH("XOM US Equity","IS_SH_FOR_DILUTED_EPS","FQ2 2001","FQ2 2001","Currency=USD","Period=FQ","BEST_FPERIOD_OVERRIDE=FQ","FILING_STATUS=OR","Sort=A","Dates=H","DateFormat=P","Fill=—","Direction=H","UseDPDF=Y")</f>
        <v>6963</v>
      </c>
      <c r="O7" s="13">
        <f>_xll.BDH("XOM US Equity","IS_SH_FOR_DILUTED_EPS","FQ3 2001","FQ3 2001","Currency=USD","Period=FQ","BEST_FPERIOD_OVERRIDE=FQ","FILING_STATUS=OR","Sort=A","Dates=H","DateFormat=P","Fill=—","Direction=H","UseDPDF=Y")</f>
        <v>6924</v>
      </c>
      <c r="P7" s="13">
        <f>_xll.BDH("XOM US Equity","IS_SH_FOR_DILUTED_EPS","FQ4 2001","FQ4 2001","Currency=USD","Period=FQ","BEST_FPERIOD_OVERRIDE=FQ","FILING_STATUS=OR","Sort=A","Dates=H","DateFormat=P","Fill=—","Direction=H","UseDPDF=Y")</f>
        <v>6889</v>
      </c>
      <c r="Q7" s="13">
        <f>_xll.BDH("XOM US Equity","IS_SH_FOR_DILUTED_EPS","FQ1 2002","FQ1 2002","Currency=USD","Period=FQ","BEST_FPERIOD_OVERRIDE=FQ","FILING_STATUS=OR","Sort=A","Dates=H","DateFormat=P","Fill=—","Direction=H","UseDPDF=Y")</f>
        <v>6858</v>
      </c>
      <c r="R7" s="13">
        <f>_xll.BDH("XOM US Equity","IS_SH_FOR_DILUTED_EPS","FQ2 2002","FQ2 2002","Currency=USD","Period=FQ","BEST_FPERIOD_OVERRIDE=FQ","FILING_STATUS=OR","Sort=A","Dates=H","DateFormat=P","Fill=—","Direction=H","UseDPDF=Y")</f>
        <v>6831</v>
      </c>
      <c r="S7" s="13">
        <f>_xll.BDH("XOM US Equity","IS_SH_FOR_DILUTED_EPS","FQ3 2002","FQ3 2002","Currency=USD","Period=FQ","BEST_FPERIOD_OVERRIDE=FQ","FILING_STATUS=OR","Sort=A","Dates=H","DateFormat=P","Fill=—","Direction=H","UseDPDF=Y")</f>
        <v>6787</v>
      </c>
      <c r="T7" s="13">
        <f>_xll.BDH("XOM US Equity","IS_SH_FOR_DILUTED_EPS","FQ4 2002","FQ4 2002","Currency=USD","Period=FQ","BEST_FPERIOD_OVERRIDE=FQ","FILING_STATUS=OR","Sort=A","Dates=H","DateFormat=P","Fill=—","Direction=H","UseDPDF=Y")</f>
        <v>6755</v>
      </c>
      <c r="U7" s="13">
        <f>_xll.BDH("XOM US Equity","IS_SH_FOR_DILUTED_EPS","FQ1 2003","FQ1 2003","Currency=USD","Period=FQ","BEST_FPERIOD_OVERRIDE=FQ","FILING_STATUS=OR","Sort=A","Dates=H","DateFormat=P","Fill=—","Direction=H","UseDPDF=Y")</f>
        <v>6714</v>
      </c>
      <c r="V7" s="13">
        <f>_xll.BDH("XOM US Equity","IS_SH_FOR_DILUTED_EPS","FQ2 2003","FQ2 2003","Currency=USD","Period=FQ","BEST_FPERIOD_OVERRIDE=FQ","FILING_STATUS=OR","Sort=A","Dates=H","DateFormat=P","Fill=—","Direction=H","UseDPDF=Y")</f>
        <v>6687</v>
      </c>
      <c r="W7" s="13">
        <f>_xll.BDH("XOM US Equity","IS_SH_FOR_DILUTED_EPS","FQ3 2003","FQ3 2003","Currency=USD","Period=FQ","BEST_FPERIOD_OVERRIDE=FQ","FILING_STATUS=OR","Sort=A","Dates=H","DateFormat=P","Fill=—","Direction=H","UseDPDF=Y")</f>
        <v>6652</v>
      </c>
      <c r="X7" s="13">
        <f>_xll.BDH("XOM US Equity","IS_SH_FOR_DILUTED_EPS","FQ4 2003","FQ4 2003","Currency=USD","Period=FQ","BEST_FPERIOD_OVERRIDE=FQ","FILING_STATUS=OR","Sort=A","Dates=H","DateFormat=P","Fill=—","Direction=H","UseDPDF=Y")</f>
        <v>6612</v>
      </c>
      <c r="Y7" s="13">
        <f>_xll.BDH("XOM US Equity","IS_SH_FOR_DILUTED_EPS","FQ1 2004","FQ1 2004","Currency=USD","Period=FQ","BEST_FPERIOD_OVERRIDE=FQ","FILING_STATUS=OR","Sort=A","Dates=H","DateFormat=P","Fill=—","Direction=H","UseDPDF=Y")</f>
        <v>6582</v>
      </c>
      <c r="Z7" s="13">
        <f>_xll.BDH("XOM US Equity","IS_SH_FOR_DILUTED_EPS","FQ2 2004","FQ2 2004","Currency=USD","Period=FQ","BEST_FPERIOD_OVERRIDE=FQ","FILING_STATUS=OR","Sort=A","Dates=H","DateFormat=P","Fill=—","Direction=H","UseDPDF=Y")</f>
        <v>6547</v>
      </c>
      <c r="AA7" s="13">
        <f>_xll.BDH("XOM US Equity","IS_SH_FOR_DILUTED_EPS","FQ3 2004","FQ3 2004","Currency=USD","Period=FQ","BEST_FPERIOD_OVERRIDE=FQ","FILING_STATUS=OR","Sort=A","Dates=H","DateFormat=P","Fill=—","Direction=H","UseDPDF=Y")</f>
        <v>6508</v>
      </c>
      <c r="AB7" s="13">
        <f>_xll.BDH("XOM US Equity","IS_SH_FOR_DILUTED_EPS","FQ4 2004","FQ4 2004","Currency=USD","Period=FQ","BEST_FPERIOD_OVERRIDE=FQ","FILING_STATUS=OR","Sort=A","Dates=H","DateFormat=P","Fill=—","Direction=H","UseDPDF=Y")</f>
        <v>6461</v>
      </c>
      <c r="AC7" s="13">
        <f>_xll.BDH("XOM US Equity","IS_SH_FOR_DILUTED_EPS","FQ1 2005","FQ1 2005","Currency=USD","Period=FQ","BEST_FPERIOD_OVERRIDE=FQ","FILING_STATUS=OR","Sort=A","Dates=H","DateFormat=P","Fill=—","Direction=H","UseDPDF=Y")</f>
        <v>6421</v>
      </c>
      <c r="AD7" s="13">
        <f>_xll.BDH("XOM US Equity","IS_SH_FOR_DILUTED_EPS","FQ2 2005","FQ2 2005","Currency=USD","Period=FQ","BEST_FPERIOD_OVERRIDE=FQ","FILING_STATUS=OR","Sort=A","Dates=H","DateFormat=P","Fill=—","Direction=H","UseDPDF=Y")</f>
        <v>6370</v>
      </c>
      <c r="AE7" s="13">
        <f>_xll.BDH("XOM US Equity","IS_SH_FOR_DILUTED_EPS","FQ3 2005","FQ3 2005","Currency=USD","Period=FQ","BEST_FPERIOD_OVERRIDE=FQ","FILING_STATUS=OR","Sort=A","Dates=H","DateFormat=P","Fill=—","Direction=H","UseDPDF=Y")</f>
        <v>6303</v>
      </c>
      <c r="AF7" s="13">
        <f>_xll.BDH("XOM US Equity","IS_SH_FOR_DILUTED_EPS","FQ4 2005","FQ4 2005","Currency=USD","Period=FQ","BEST_FPERIOD_OVERRIDE=FQ","FILING_STATUS=OR","Sort=A","Dates=H","DateFormat=P","Fill=—","Direction=H","UseDPDF=Y")</f>
        <v>6263</v>
      </c>
      <c r="AG7" s="13">
        <f>_xll.BDH("XOM US Equity","IS_SH_FOR_DILUTED_EPS","FQ1 2006","FQ1 2006","Currency=USD","Period=FQ","BEST_FPERIOD_OVERRIDE=FQ","FILING_STATUS=OR","Sort=A","Dates=H","DateFormat=P","Fill=—","Direction=H","UseDPDF=Y")</f>
        <v>6126</v>
      </c>
      <c r="AH7" s="13">
        <f>_xll.BDH("XOM US Equity","IS_SH_FOR_DILUTED_EPS","FQ2 2006","FQ2 2006","Currency=USD","Period=FQ","BEST_FPERIOD_OVERRIDE=FQ","FILING_STATUS=OR","Sort=A","Dates=H","DateFormat=P","Fill=—","Direction=H","UseDPDF=Y")</f>
        <v>6030</v>
      </c>
      <c r="AI7" s="13">
        <f>_xll.BDH("XOM US Equity","IS_SH_FOR_DILUTED_EPS","FQ3 2006","FQ3 2006","Currency=USD","Period=FQ","BEST_FPERIOD_OVERRIDE=FQ","FILING_STATUS=OR","Sort=A","Dates=H","DateFormat=P","Fill=—","Direction=H","UseDPDF=Y")</f>
        <v>5922</v>
      </c>
      <c r="AJ7" s="13">
        <f>_xll.BDH("XOM US Equity","IS_SH_FOR_DILUTED_EPS","FQ4 2006","FQ4 2006","Currency=USD","Period=FQ","BEST_FPERIOD_OVERRIDE=FQ","FILING_STATUS=OR","Sort=A","Dates=H","DateFormat=P","Fill=—","Direction=H","UseDPDF=Y")</f>
        <v>5823.86</v>
      </c>
      <c r="AK7" s="13">
        <f>_xll.BDH("XOM US Equity","IS_SH_FOR_DILUTED_EPS","FQ1 2007","FQ1 2007","Currency=USD","Period=FQ","BEST_FPERIOD_OVERRIDE=FQ","FILING_STATUS=OR","Sort=A","Dates=H","DateFormat=P","Fill=—","Direction=H","UseDPDF=Y")</f>
        <v>5714</v>
      </c>
      <c r="AL7" s="13">
        <f>_xll.BDH("XOM US Equity","IS_SH_FOR_DILUTED_EPS","FQ2 2007","FQ2 2007","Currency=USD","Period=FQ","BEST_FPERIOD_OVERRIDE=FQ","FILING_STATUS=OR","Sort=A","Dates=H","DateFormat=P","Fill=—","Direction=H","UseDPDF=Y")</f>
        <v>5620</v>
      </c>
      <c r="AM7" s="13">
        <f>_xll.BDH("XOM US Equity","IS_SH_FOR_DILUTED_EPS","FQ3 2007","FQ3 2007","Currency=USD","Period=FQ","BEST_FPERIOD_OVERRIDE=FQ","FILING_STATUS=OR","Sort=A","Dates=H","DateFormat=P","Fill=—","Direction=H","UseDPDF=Y")</f>
        <v>5536</v>
      </c>
      <c r="AN7" s="13">
        <f>_xll.BDH("XOM US Equity","IS_SH_FOR_DILUTED_EPS","FQ4 2007","FQ4 2007","Currency=USD","Period=FQ","BEST_FPERIOD_OVERRIDE=FQ","FILING_STATUS=OR","Sort=A","Dates=H","DateFormat=P","Fill=—","Direction=H","UseDPDF=Y")</f>
        <v>5454</v>
      </c>
      <c r="AO7" s="13">
        <f>_xll.BDH("XOM US Equity","IS_SH_FOR_DILUTED_EPS","FQ1 2008","FQ1 2008","Currency=USD","Period=FQ","BEST_FPERIOD_OVERRIDE=FQ","FILING_STATUS=OR","Sort=A","Dates=H","DateFormat=P","Fill=—","Direction=H","UseDPDF=Y")</f>
        <v>5362</v>
      </c>
      <c r="AP7" s="13">
        <f>_xll.BDH("XOM US Equity","IS_SH_FOR_DILUTED_EPS","FQ2 2008","FQ2 2008","Currency=USD","Period=FQ","BEST_FPERIOD_OVERRIDE=FQ","FILING_STATUS=OR","Sort=A","Dates=H","DateFormat=P","Fill=—","Direction=H","UseDPDF=Y")</f>
        <v>5261</v>
      </c>
    </row>
    <row r="8" spans="1:42" x14ac:dyDescent="0.25">
      <c r="A8" s="10" t="s">
        <v>133</v>
      </c>
      <c r="B8" s="10" t="s">
        <v>134</v>
      </c>
      <c r="C8" s="13">
        <f>_xll.BDH("XOM US Equity","IS_AVG_NUM_SH_FOR_EPS","FQ3 1998","FQ3 1998","Currency=USD","Period=FQ","BEST_FPERIOD_OVERRIDE=FQ","FILING_STATUS=OR","Sort=A","Dates=H","DateFormat=P","Fill=—","Direction=H","UseDPDF=Y")</f>
        <v>4870</v>
      </c>
      <c r="D8" s="13">
        <f>_xll.BDH("XOM US Equity","IS_AVG_NUM_SH_FOR_EPS","FQ4 1998","FQ4 1998","Currency=USD","Period=FQ","BEST_FPERIOD_OVERRIDE=FQ","FILING_STATUS=OR","Sort=A","Dates=H","DateFormat=P","Fill=—","Direction=H","UseDPDF=Y")</f>
        <v>4858</v>
      </c>
      <c r="E8" s="13">
        <f>_xll.BDH("XOM US Equity","IS_AVG_NUM_SH_FOR_EPS","FQ1 1999","FQ1 1999","Currency=USD","Period=FQ","BEST_FPERIOD_OVERRIDE=FQ","FILING_STATUS=OR","Sort=A","Dates=H","DateFormat=P","Fill=—","Direction=H","UseDPDF=Y")</f>
        <v>4856</v>
      </c>
      <c r="F8" s="13">
        <f>_xll.BDH("XOM US Equity","IS_AVG_NUM_SH_FOR_EPS","FQ2 1999","FQ2 1999","Currency=USD","Period=FQ","BEST_FPERIOD_OVERRIDE=FQ","FILING_STATUS=OR","Sort=A","Dates=H","DateFormat=P","Fill=—","Direction=H","UseDPDF=Y")</f>
        <v>4856</v>
      </c>
      <c r="G8" s="13">
        <f>_xll.BDH("XOM US Equity","IS_AVG_NUM_SH_FOR_EPS","FQ3 1999","FQ3 1999","Currency=USD","Period=FQ","BEST_FPERIOD_OVERRIDE=FQ","FILING_STATUS=OR","Sort=A","Dates=H","DateFormat=P","Fill=—","Direction=H","UseDPDF=Y")</f>
        <v>4856</v>
      </c>
      <c r="H8" s="13">
        <f>_xll.BDH("XOM US Equity","IS_AVG_NUM_SH_FOR_EPS","FQ4 1999","FQ4 1999","Currency=USD","Period=FQ","BEST_FPERIOD_OVERRIDE=FQ","FILING_STATUS=OR","Sort=A","Dates=H","DateFormat=P","Fill=—","Direction=H","UseDPDF=Y")</f>
        <v>6906</v>
      </c>
      <c r="I8" s="13">
        <f>_xll.BDH("XOM US Equity","IS_AVG_NUM_SH_FOR_EPS","FQ1 2000","FQ1 2000","Currency=USD","Period=FQ","BEST_FPERIOD_OVERRIDE=FQ","FILING_STATUS=OR","Sort=A","Dates=H","DateFormat=P","Fill=—","Direction=H","UseDPDF=Y")</f>
        <v>6956</v>
      </c>
      <c r="J8" s="13">
        <f>_xll.BDH("XOM US Equity","IS_AVG_NUM_SH_FOR_EPS","FQ2 2000","FQ2 2000","Currency=USD","Period=FQ","BEST_FPERIOD_OVERRIDE=FQ","FILING_STATUS=OR","Sort=A","Dates=H","DateFormat=P","Fill=—","Direction=H","UseDPDF=Y")</f>
        <v>6962</v>
      </c>
      <c r="K8" s="13">
        <f>_xll.BDH("XOM US Equity","IS_AVG_NUM_SH_FOR_EPS","FQ3 2000","FQ3 2000","Currency=USD","Period=FQ","BEST_FPERIOD_OVERRIDE=FQ","FILING_STATUS=OR","Sort=A","Dates=H","DateFormat=P","Fill=—","Direction=H","UseDPDF=Y")</f>
        <v>6960</v>
      </c>
      <c r="L8" s="13">
        <f>_xll.BDH("XOM US Equity","IS_AVG_NUM_SH_FOR_EPS","FQ4 2000","FQ4 2000","Currency=USD","Period=FQ","BEST_FPERIOD_OVERRIDE=FQ","FILING_STATUS=OR","Sort=A","Dates=H","DateFormat=P","Fill=—","Direction=H","UseDPDF=Y")</f>
        <v>6938</v>
      </c>
      <c r="M8" s="13">
        <f>_xll.BDH("XOM US Equity","IS_AVG_NUM_SH_FOR_EPS","FQ1 2001","FQ1 2001","Currency=USD","Period=FQ","BEST_FPERIOD_OVERRIDE=FQ","FILING_STATUS=OR","Sort=A","Dates=H","DateFormat=P","Fill=—","Direction=H","UseDPDF=Y")</f>
        <v>6912</v>
      </c>
      <c r="N8" s="13">
        <f>_xll.BDH("XOM US Equity","IS_AVG_NUM_SH_FOR_EPS","FQ2 2001","FQ2 2001","Currency=USD","Period=FQ","BEST_FPERIOD_OVERRIDE=FQ","FILING_STATUS=OR","Sort=A","Dates=H","DateFormat=P","Fill=—","Direction=H","UseDPDF=Y")</f>
        <v>6883</v>
      </c>
      <c r="O8" s="13">
        <f>_xll.BDH("XOM US Equity","IS_AVG_NUM_SH_FOR_EPS","FQ3 2001","FQ3 2001","Currency=USD","Period=FQ","BEST_FPERIOD_OVERRIDE=FQ","FILING_STATUS=OR","Sort=A","Dates=H","DateFormat=P","Fill=—","Direction=H","UseDPDF=Y")</f>
        <v>6852</v>
      </c>
      <c r="P8" s="13">
        <f>_xll.BDH("XOM US Equity","IS_AVG_NUM_SH_FOR_EPS","FQ4 2001","FQ4 2001","Currency=USD","Period=FQ","BEST_FPERIOD_OVERRIDE=FQ","FILING_STATUS=OR","Sort=A","Dates=H","DateFormat=P","Fill=—","Direction=H","UseDPDF=Y")</f>
        <v>6823</v>
      </c>
      <c r="Q8" s="13">
        <f>_xll.BDH("XOM US Equity","IS_AVG_NUM_SH_FOR_EPS","FQ1 2002","FQ1 2002","Currency=USD","Period=FQ","BEST_FPERIOD_OVERRIDE=FQ","FILING_STATUS=OR","Sort=A","Dates=H","DateFormat=P","Fill=—","Direction=H","UseDPDF=Y")</f>
        <v>6793</v>
      </c>
      <c r="R8" s="13">
        <f>_xll.BDH("XOM US Equity","IS_AVG_NUM_SH_FOR_EPS","FQ2 2002","FQ2 2002","Currency=USD","Period=FQ","BEST_FPERIOD_OVERRIDE=FQ","FILING_STATUS=OR","Sort=A","Dates=H","DateFormat=P","Fill=—","Direction=H","UseDPDF=Y")</f>
        <v>6767</v>
      </c>
      <c r="S8" s="13">
        <f>_xll.BDH("XOM US Equity","IS_AVG_NUM_SH_FOR_EPS","FQ3 2002","FQ3 2002","Currency=USD","Period=FQ","BEST_FPERIOD_OVERRIDE=FQ","FILING_STATUS=OR","Sort=A","Dates=H","DateFormat=P","Fill=—","Direction=H","UseDPDF=Y")</f>
        <v>6740</v>
      </c>
      <c r="T8" s="13">
        <f>_xll.BDH("XOM US Equity","IS_AVG_NUM_SH_FOR_EPS","FQ4 2002","FQ4 2002","Currency=USD","Period=FQ","BEST_FPERIOD_OVERRIDE=FQ","FILING_STATUS=OR","Sort=A","Dates=H","DateFormat=P","Fill=—","Direction=H","UseDPDF=Y")</f>
        <v>6712</v>
      </c>
      <c r="U8" s="13">
        <f>_xll.BDH("XOM US Equity","IS_AVG_NUM_SH_FOR_EPS","FQ1 2003","FQ1 2003","Currency=USD","Period=FQ","BEST_FPERIOD_OVERRIDE=FQ","FILING_STATUS=OR","Sort=A","Dates=H","DateFormat=P","Fill=—","Direction=H","UseDPDF=Y")</f>
        <v>6683</v>
      </c>
      <c r="V8" s="13">
        <f>_xll.BDH("XOM US Equity","IS_AVG_NUM_SH_FOR_EPS","FQ2 2003","FQ2 2003","Currency=USD","Period=FQ","BEST_FPERIOD_OVERRIDE=FQ","FILING_STATUS=OR","Sort=A","Dates=H","DateFormat=P","Fill=—","Direction=H","UseDPDF=Y")</f>
        <v>6654</v>
      </c>
      <c r="W8" s="13">
        <f>_xll.BDH("XOM US Equity","IS_AVG_NUM_SH_FOR_EPS","FQ3 2003","FQ3 2003","Currency=USD","Period=FQ","BEST_FPERIOD_OVERRIDE=FQ","FILING_STATUS=OR","Sort=A","Dates=H","DateFormat=P","Fill=—","Direction=H","UseDPDF=Y")</f>
        <v>6619</v>
      </c>
      <c r="X8" s="13">
        <f>_xll.BDH("XOM US Equity","IS_AVG_NUM_SH_FOR_EPS","FQ4 2003","FQ4 2003","Currency=USD","Period=FQ","BEST_FPERIOD_OVERRIDE=FQ","FILING_STATUS=OR","Sort=A","Dates=H","DateFormat=P","Fill=—","Direction=H","UseDPDF=Y")</f>
        <v>6580</v>
      </c>
      <c r="Y8" s="13">
        <f>_xll.BDH("XOM US Equity","IS_AVG_NUM_SH_FOR_EPS","FQ1 2004","FQ1 2004","Currency=USD","Period=FQ","BEST_FPERIOD_OVERRIDE=FQ","FILING_STATUS=OR","Sort=A","Dates=H","DateFormat=P","Fill=—","Direction=H","UseDPDF=Y")</f>
        <v>6544</v>
      </c>
      <c r="Z8" s="13">
        <f>_xll.BDH("XOM US Equity","IS_AVG_NUM_SH_FOR_EPS","FQ2 2004","FQ2 2004","Currency=USD","Period=FQ","BEST_FPERIOD_OVERRIDE=FQ","FILING_STATUS=OR","Sort=A","Dates=H","DateFormat=P","Fill=—","Direction=H","UseDPDF=Y")</f>
        <v>6506</v>
      </c>
      <c r="AA8" s="13">
        <f>_xll.BDH("XOM US Equity","IS_AVG_NUM_SH_FOR_EPS","FQ3 2004","FQ3 2004","Currency=USD","Period=FQ","BEST_FPERIOD_OVERRIDE=FQ","FILING_STATUS=OR","Sort=A","Dates=H","DateFormat=P","Fill=—","Direction=H","UseDPDF=Y")</f>
        <v>6464</v>
      </c>
      <c r="AB8" s="13">
        <f>_xll.BDH("XOM US Equity","IS_AVG_NUM_SH_FOR_EPS","FQ4 2004","FQ4 2004","Currency=USD","Period=FQ","BEST_FPERIOD_OVERRIDE=FQ","FILING_STATUS=OR","Sort=A","Dates=H","DateFormat=P","Fill=—","Direction=H","UseDPDF=Y")</f>
        <v>6411</v>
      </c>
      <c r="AC8" s="13">
        <f>_xll.BDH("XOM US Equity","IS_AVG_NUM_SH_FOR_EPS","FQ1 2005","FQ1 2005","Currency=USD","Period=FQ","BEST_FPERIOD_OVERRIDE=FQ","FILING_STATUS=OR","Sort=A","Dates=H","DateFormat=P","Fill=—","Direction=H","UseDPDF=Y")</f>
        <v>6365</v>
      </c>
      <c r="AD8" s="13">
        <f>_xll.BDH("XOM US Equity","IS_AVG_NUM_SH_FOR_EPS","FQ2 2005","FQ2 2005","Currency=USD","Period=FQ","BEST_FPERIOD_OVERRIDE=FQ","FILING_STATUS=OR","Sort=A","Dates=H","DateFormat=P","Fill=—","Direction=H","UseDPDF=Y")</f>
        <v>6310</v>
      </c>
      <c r="AE8" s="13">
        <f>_xll.BDH("XOM US Equity","IS_AVG_NUM_SH_FOR_EPS","FQ3 2005","FQ3 2005","Currency=USD","Period=FQ","BEST_FPERIOD_OVERRIDE=FQ","FILING_STATUS=OR","Sort=A","Dates=H","DateFormat=P","Fill=—","Direction=H","UseDPDF=Y")</f>
        <v>6241</v>
      </c>
      <c r="AF8" s="13">
        <f>_xll.BDH("XOM US Equity","IS_AVG_NUM_SH_FOR_EPS","FQ4 2005","FQ4 2005","Currency=USD","Period=FQ","BEST_FPERIOD_OVERRIDE=FQ","FILING_STATUS=OR","Sort=A","Dates=H","DateFormat=P","Fill=—","Direction=H","UseDPDF=Y")</f>
        <v>6226</v>
      </c>
      <c r="AG8" s="13">
        <f>_xll.BDH("XOM US Equity","IS_AVG_NUM_SH_FOR_EPS","FQ1 2006","FQ1 2006","Currency=USD","Period=FQ","BEST_FPERIOD_OVERRIDE=FQ","FILING_STATUS=OR","Sort=A","Dates=H","DateFormat=P","Fill=—","Direction=H","UseDPDF=Y")</f>
        <v>6068</v>
      </c>
      <c r="AH8" s="13">
        <f>_xll.BDH("XOM US Equity","IS_AVG_NUM_SH_FOR_EPS","FQ2 2006","FQ2 2006","Currency=USD","Period=FQ","BEST_FPERIOD_OVERRIDE=FQ","FILING_STATUS=OR","Sort=A","Dates=H","DateFormat=P","Fill=—","Direction=H","UseDPDF=Y")</f>
        <v>5971</v>
      </c>
      <c r="AI8" s="13">
        <f>_xll.BDH("XOM US Equity","IS_AVG_NUM_SH_FOR_EPS","FQ3 2006","FQ3 2006","Currency=USD","Period=FQ","BEST_FPERIOD_OVERRIDE=FQ","FILING_STATUS=OR","Sort=A","Dates=H","DateFormat=P","Fill=—","Direction=H","UseDPDF=Y")</f>
        <v>5861</v>
      </c>
      <c r="AJ8" s="13">
        <f>_xll.BDH("XOM US Equity","IS_AVG_NUM_SH_FOR_EPS","FQ4 2006","FQ4 2006","Currency=USD","Period=FQ","BEST_FPERIOD_OVERRIDE=FQ","FILING_STATUS=OR","Sort=A","Dates=H","DateFormat=P","Fill=—","Direction=H","UseDPDF=Y")</f>
        <v>5790.96</v>
      </c>
      <c r="AK8" s="13">
        <f>_xll.BDH("XOM US Equity","IS_AVG_NUM_SH_FOR_EPS","FQ1 2007","FQ1 2007","Currency=USD","Period=FQ","BEST_FPERIOD_OVERRIDE=FQ","FILING_STATUS=OR","Sort=A","Dates=H","DateFormat=P","Fill=—","Direction=H","UseDPDF=Y")</f>
        <v>5650</v>
      </c>
      <c r="AL8" s="13">
        <f>_xll.BDH("XOM US Equity","IS_AVG_NUM_SH_FOR_EPS","FQ2 2007","FQ2 2007","Currency=USD","Period=FQ","BEST_FPERIOD_OVERRIDE=FQ","FILING_STATUS=OR","Sort=A","Dates=H","DateFormat=P","Fill=—","Direction=H","UseDPDF=Y")</f>
        <v>5555</v>
      </c>
      <c r="AM8" s="13">
        <f>_xll.BDH("XOM US Equity","IS_AVG_NUM_SH_FOR_EPS","FQ3 2007","FQ3 2007","Currency=USD","Period=FQ","BEST_FPERIOD_OVERRIDE=FQ","FILING_STATUS=OR","Sort=A","Dates=H","DateFormat=P","Fill=—","Direction=H","UseDPDF=Y")</f>
        <v>5470</v>
      </c>
      <c r="AN8" s="13">
        <f>_xll.BDH("XOM US Equity","IS_AVG_NUM_SH_FOR_EPS","FQ4 2007","FQ4 2007","Currency=USD","Period=FQ","BEST_FPERIOD_OVERRIDE=FQ","FILING_STATUS=OR","Sort=A","Dates=H","DateFormat=P","Fill=—","Direction=H","UseDPDF=Y")</f>
        <v>5423</v>
      </c>
      <c r="AO8" s="13">
        <f>_xll.BDH("XOM US Equity","IS_AVG_NUM_SH_FOR_EPS","FQ1 2008","FQ1 2008","Currency=USD","Period=FQ","BEST_FPERIOD_OVERRIDE=FQ","FILING_STATUS=OR","Sort=A","Dates=H","DateFormat=P","Fill=—","Direction=H","UseDPDF=Y")</f>
        <v>5301</v>
      </c>
      <c r="AP8" s="13">
        <f>_xll.BDH("XOM US Equity","IS_AVG_NUM_SH_FOR_EPS","FQ2 2008","FQ2 2008","Currency=USD","Period=FQ","BEST_FPERIOD_OVERRIDE=FQ","FILING_STATUS=OR","Sort=A","Dates=H","DateFormat=P","Fill=—","Direction=H","UseDPDF=Y")</f>
        <v>5201</v>
      </c>
    </row>
    <row r="9" spans="1:42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x14ac:dyDescent="0.25">
      <c r="A10" s="6" t="s">
        <v>356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 x14ac:dyDescent="0.25">
      <c r="A11" s="10" t="s">
        <v>0</v>
      </c>
      <c r="B11" s="10" t="s">
        <v>357</v>
      </c>
      <c r="C11" s="14">
        <f>_xll.BDH("XOM US Equity","REVENUE_PER_SH","FQ3 1998","FQ3 1998","Currency=USD","Period=FQ","BEST_FPERIOD_OVERRIDE=FQ","FILING_STATUS=OR","FA_ADJUSTED=GAAP","Sort=A","Dates=H","DateFormat=P","Fill=—","Direction=H","UseDPDF=Y")</f>
        <v>5.1044999999999998</v>
      </c>
      <c r="D11" s="14">
        <f>_xll.BDH("XOM US Equity","REVENUE_PER_SH","FQ4 1998","FQ4 1998","Currency=USD","Period=FQ","BEST_FPERIOD_OVERRIDE=FQ","FILING_STATUS=OR","FA_ADJUSTED=GAAP","Sort=A","Dates=H","DateFormat=P","Fill=—","Direction=H","UseDPDF=Y")</f>
        <v>6.3681000000000001</v>
      </c>
      <c r="E11" s="14">
        <f>_xll.BDH("XOM US Equity","REVENUE_PER_SH","FQ1 1999","FQ1 1999","Currency=USD","Period=FQ","BEST_FPERIOD_OVERRIDE=FQ","FILING_STATUS=OR","FA_ADJUSTED=GAAP","Sort=A","Dates=H","DateFormat=P","Fill=—","Direction=H","UseDPDF=Y")</f>
        <v>4.7327000000000004</v>
      </c>
      <c r="F11" s="14">
        <f>_xll.BDH("XOM US Equity","REVENUE_PER_SH","FQ2 1999","FQ2 1999","Currency=USD","Period=FQ","BEST_FPERIOD_OVERRIDE=FQ","FILING_STATUS=OR","FA_ADJUSTED=GAAP","Sort=A","Dates=H","DateFormat=P","Fill=—","Direction=H","UseDPDF=Y")</f>
        <v>5.2089999999999996</v>
      </c>
      <c r="G11" s="14">
        <f>_xll.BDH("XOM US Equity","REVENUE_PER_SH","FQ3 1999","FQ3 1999","Currency=USD","Period=FQ","BEST_FPERIOD_OVERRIDE=FQ","FILING_STATUS=OR","FA_ADJUSTED=GAAP","Sort=A","Dates=H","DateFormat=P","Fill=—","Direction=H","UseDPDF=Y")</f>
        <v>5.9751000000000003</v>
      </c>
      <c r="H11" s="14">
        <f>_xll.BDH("XOM US Equity","REVENUE_PER_SH","FQ4 1999","FQ4 1999","Currency=USD","Period=FQ","BEST_FPERIOD_OVERRIDE=FQ","FILING_STATUS=OR","FA_ADJUSTED=GAAP","Sort=A","Dates=H","DateFormat=P","Fill=—","Direction=H","UseDPDF=Y")</f>
        <v>12.104100000000001</v>
      </c>
      <c r="I11" s="14">
        <f>_xll.BDH("XOM US Equity","REVENUE_PER_SH","FQ1 2000","FQ1 2000","Currency=USD","Period=FQ","BEST_FPERIOD_OVERRIDE=FQ","FILING_STATUS=OR","FA_ADJUSTED=GAAP","Sort=A","Dates=H","DateFormat=P","Fill=—","Direction=H","UseDPDF=Y")</f>
        <v>6.8689</v>
      </c>
      <c r="J11" s="14">
        <f>_xll.BDH("XOM US Equity","REVENUE_PER_SH","FQ2 2000","FQ2 2000","Currency=USD","Period=FQ","BEST_FPERIOD_OVERRIDE=FQ","FILING_STATUS=OR","FA_ADJUSTED=GAAP","Sort=A","Dates=H","DateFormat=P","Fill=—","Direction=H","UseDPDF=Y")</f>
        <v>7.1070000000000002</v>
      </c>
      <c r="K11" s="14">
        <f>_xll.BDH("XOM US Equity","REVENUE_PER_SH","FQ3 2000","FQ3 2000","Currency=USD","Period=FQ","BEST_FPERIOD_OVERRIDE=FQ","FILING_STATUS=OR","FA_ADJUSTED=GAAP","Sort=A","Dates=H","DateFormat=P","Fill=—","Direction=H","UseDPDF=Y")</f>
        <v>7.4968000000000004</v>
      </c>
      <c r="L11" s="14">
        <f>_xll.BDH("XOM US Equity","REVENUE_PER_SH","FQ4 2000","FQ4 2000","Currency=USD","Period=FQ","BEST_FPERIOD_OVERRIDE=FQ","FILING_STATUS=OR","FA_ADJUSTED=GAAP","Sort=A","Dates=H","DateFormat=P","Fill=—","Direction=H","UseDPDF=Y")</f>
        <v>8.1646000000000001</v>
      </c>
      <c r="M11" s="14">
        <f>_xll.BDH("XOM US Equity","REVENUE_PER_SH","FQ1 2001","FQ1 2001","Currency=USD","Period=FQ","BEST_FPERIOD_OVERRIDE=FQ","FILING_STATUS=OR","FA_ADJUSTED=GAAP","Sort=A","Dates=H","DateFormat=P","Fill=—","Direction=H","UseDPDF=Y")</f>
        <v>7.3468999999999998</v>
      </c>
      <c r="N11" s="14">
        <f>_xll.BDH("XOM US Equity","REVENUE_PER_SH","FQ2 2001","FQ2 2001","Currency=USD","Period=FQ","BEST_FPERIOD_OVERRIDE=FQ","FILING_STATUS=OR","FA_ADJUSTED=GAAP","Sort=A","Dates=H","DateFormat=P","Fill=—","Direction=H","UseDPDF=Y")</f>
        <v>7.2461000000000002</v>
      </c>
      <c r="O11" s="14">
        <f>_xll.BDH("XOM US Equity","REVENUE_PER_SH","FQ3 2001","FQ3 2001","Currency=USD","Period=FQ","BEST_FPERIOD_OVERRIDE=FQ","FILING_STATUS=OR","FA_ADJUSTED=GAAP","Sort=A","Dates=H","DateFormat=P","Fill=—","Direction=H","UseDPDF=Y")</f>
        <v>6.6864999999999997</v>
      </c>
      <c r="P11" s="14">
        <f>_xll.BDH("XOM US Equity","REVENUE_PER_SH","FQ4 2001","FQ4 2001","Currency=USD","Period=FQ","BEST_FPERIOD_OVERRIDE=FQ","FILING_STATUS=OR","FA_ADJUSTED=GAAP","Sort=A","Dates=H","DateFormat=P","Fill=—","Direction=H","UseDPDF=Y")</f>
        <v>6.0145</v>
      </c>
      <c r="Q11" s="14">
        <f>_xll.BDH("XOM US Equity","REVENUE_PER_SH","FQ1 2002","FQ1 2002","Currency=USD","Period=FQ","BEST_FPERIOD_OVERRIDE=FQ","FILING_STATUS=OR","FA_ADJUSTED=GAAP","Sort=A","Dates=H","DateFormat=P","Fill=—","Direction=H","UseDPDF=Y")</f>
        <v>5.5831999999999997</v>
      </c>
      <c r="R11" s="14">
        <f>_xll.BDH("XOM US Equity","REVENUE_PER_SH","FQ2 2002","FQ2 2002","Currency=USD","Period=FQ","BEST_FPERIOD_OVERRIDE=FQ","FILING_STATUS=OR","FA_ADJUSTED=GAAP","Sort=A","Dates=H","DateFormat=P","Fill=—","Direction=H","UseDPDF=Y")</f>
        <v>6.5651999999999999</v>
      </c>
      <c r="S11" s="14">
        <f>_xll.BDH("XOM US Equity","REVENUE_PER_SH","FQ3 2002","FQ3 2002","Currency=USD","Period=FQ","BEST_FPERIOD_OVERRIDE=FQ","FILING_STATUS=OR","FA_ADJUSTED=GAAP","Sort=A","Dates=H","DateFormat=P","Fill=—","Direction=H","UseDPDF=Y")</f>
        <v>7.0467000000000004</v>
      </c>
      <c r="T11" s="14">
        <f>_xll.BDH("XOM US Equity","REVENUE_PER_SH","FQ4 2002","FQ4 2002","Currency=USD","Period=FQ","BEST_FPERIOD_OVERRIDE=FQ","FILING_STATUS=OR","FA_ADJUSTED=GAAP","Sort=A","Dates=H","DateFormat=P","Fill=—","Direction=H","UseDPDF=Y")</f>
        <v>8.3747000000000007</v>
      </c>
      <c r="U11" s="14">
        <f>_xll.BDH("XOM US Equity","REVENUE_PER_SH","FQ1 2003","FQ1 2003","Currency=USD","Period=FQ","BEST_FPERIOD_OVERRIDE=FQ","FILING_STATUS=OR","FA_ADJUSTED=GAAP","Sort=A","Dates=H","DateFormat=P","Fill=—","Direction=H","UseDPDF=Y")</f>
        <v>8.1335999999999995</v>
      </c>
      <c r="V11" s="14">
        <f>_xll.BDH("XOM US Equity","REVENUE_PER_SH","FQ2 2003","FQ2 2003","Currency=USD","Period=FQ","BEST_FPERIOD_OVERRIDE=FQ","FILING_STATUS=OR","FA_ADJUSTED=GAAP","Sort=A","Dates=H","DateFormat=P","Fill=—","Direction=H","UseDPDF=Y")</f>
        <v>7.5549999999999997</v>
      </c>
      <c r="W11" s="14">
        <f>_xll.BDH("XOM US Equity","REVENUE_PER_SH","FQ3 2003","FQ3 2003","Currency=USD","Period=FQ","BEST_FPERIOD_OVERRIDE=FQ","FILING_STATUS=OR","FA_ADJUSTED=GAAP","Sort=A","Dates=H","DateFormat=P","Fill=—","Direction=H","UseDPDF=Y")</f>
        <v>7.9861000000000004</v>
      </c>
      <c r="X11" s="14">
        <f>_xll.BDH("XOM US Equity","REVENUE_PER_SH","FQ4 2003","FQ4 2003","Currency=USD","Period=FQ","BEST_FPERIOD_OVERRIDE=FQ","FILING_STATUS=OR","FA_ADJUSTED=GAAP","Sort=A","Dates=H","DateFormat=P","Fill=—","Direction=H","UseDPDF=Y")</f>
        <v>8.4666999999999994</v>
      </c>
      <c r="Y11" s="14">
        <f>_xll.BDH("XOM US Equity","REVENUE_PER_SH","FQ1 2004","FQ1 2004","Currency=USD","Period=FQ","BEST_FPERIOD_OVERRIDE=FQ","FILING_STATUS=OR","FA_ADJUSTED=GAAP","Sort=A","Dates=H","DateFormat=P","Fill=—","Direction=H","UseDPDF=Y")</f>
        <v>9.1143000000000001</v>
      </c>
      <c r="Z11" s="14">
        <f>_xll.BDH("XOM US Equity","REVENUE_PER_SH","FQ2 2004","FQ2 2004","Currency=USD","Period=FQ","BEST_FPERIOD_OVERRIDE=FQ","FILING_STATUS=OR","FA_ADJUSTED=GAAP","Sort=A","Dates=H","DateFormat=P","Fill=—","Direction=H","UseDPDF=Y")</f>
        <v>9.6381999999999994</v>
      </c>
      <c r="AA11" s="14">
        <f>_xll.BDH("XOM US Equity","REVENUE_PER_SH","FQ3 2004","FQ3 2004","Currency=USD","Period=FQ","BEST_FPERIOD_OVERRIDE=FQ","FILING_STATUS=OR","FA_ADJUSTED=GAAP","Sort=A","Dates=H","DateFormat=P","Fill=—","Direction=H","UseDPDF=Y")</f>
        <v>10.4903</v>
      </c>
      <c r="AB11" s="14">
        <f>_xll.BDH("XOM US Equity","REVENUE_PER_SH","FQ4 2004","FQ4 2004","Currency=USD","Period=FQ","BEST_FPERIOD_OVERRIDE=FQ","FILING_STATUS=OR","FA_ADJUSTED=GAAP","Sort=A","Dates=H","DateFormat=P","Fill=—","Direction=H","UseDPDF=Y")</f>
        <v>11.5161</v>
      </c>
      <c r="AC11" s="14">
        <f>_xll.BDH("XOM US Equity","REVENUE_PER_SH","FQ1 2005","FQ1 2005","Currency=USD","Period=FQ","BEST_FPERIOD_OVERRIDE=FQ","FILING_STATUS=OR","FA_ADJUSTED=GAAP","Sort=A","Dates=H","DateFormat=P","Fill=—","Direction=H","UseDPDF=Y")</f>
        <v>11.3491</v>
      </c>
      <c r="AD11" s="14">
        <f>_xll.BDH("XOM US Equity","REVENUE_PER_SH","FQ2 2005","FQ2 2005","Currency=USD","Period=FQ","BEST_FPERIOD_OVERRIDE=FQ","FILING_STATUS=OR","FA_ADJUSTED=GAAP","Sort=A","Dates=H","DateFormat=P","Fill=—","Direction=H","UseDPDF=Y")</f>
        <v>12.536799999999999</v>
      </c>
      <c r="AE11" s="14">
        <f>_xll.BDH("XOM US Equity","REVENUE_PER_SH","FQ3 2005","FQ3 2005","Currency=USD","Period=FQ","BEST_FPERIOD_OVERRIDE=FQ","FILING_STATUS=OR","FA_ADJUSTED=GAAP","Sort=A","Dates=H","DateFormat=P","Fill=—","Direction=H","UseDPDF=Y")</f>
        <v>14.191800000000001</v>
      </c>
      <c r="AF11" s="14">
        <f>_xll.BDH("XOM US Equity","REVENUE_PER_SH","FQ4 2005","FQ4 2005","Currency=USD","Period=FQ","BEST_FPERIOD_OVERRIDE=FQ","FILING_STATUS=OR","FA_ADJUSTED=GAAP","Sort=A","Dates=H","DateFormat=P","Fill=—","Direction=H","UseDPDF=Y")</f>
        <v>14.1821</v>
      </c>
      <c r="AG11" s="14">
        <f>_xll.BDH("XOM US Equity","REVENUE_PER_SH","FQ1 2006","FQ1 2006","Currency=USD","Period=FQ","BEST_FPERIOD_OVERRIDE=FQ","FILING_STATUS=OR","FA_ADJUSTED=GAAP","Sort=A","Dates=H","DateFormat=P","Fill=—","Direction=H","UseDPDF=Y")</f>
        <v>12.9619</v>
      </c>
      <c r="AH11" s="14">
        <f>_xll.BDH("XOM US Equity","REVENUE_PER_SH","FQ2 2006","FQ2 2006","Currency=USD","Period=FQ","BEST_FPERIOD_OVERRIDE=FQ","FILING_STATUS=OR","FA_ADJUSTED=GAAP","Sort=A","Dates=H","DateFormat=P","Fill=—","Direction=H","UseDPDF=Y")</f>
        <v>14.7066</v>
      </c>
      <c r="AI11" s="14">
        <f>_xll.BDH("XOM US Equity","REVENUE_PER_SH","FQ3 2006","FQ3 2006","Currency=USD","Period=FQ","BEST_FPERIOD_OVERRIDE=FQ","FILING_STATUS=OR","FA_ADJUSTED=GAAP","Sort=A","Dates=H","DateFormat=P","Fill=—","Direction=H","UseDPDF=Y")</f>
        <v>15.1005</v>
      </c>
      <c r="AJ11" s="14">
        <f>_xll.BDH("XOM US Equity","REVENUE_PER_SH","FQ4 2006","FQ4 2006","Currency=USD","Period=FQ","BEST_FPERIOD_OVERRIDE=FQ","FILING_STATUS=OR","FA_ADJUSTED=GAAP","Sort=A","Dates=H","DateFormat=P","Fill=—","Direction=H","UseDPDF=Y")</f>
        <v>13.8347</v>
      </c>
      <c r="AK11" s="14">
        <f>_xll.BDH("XOM US Equity","REVENUE_PER_SH","FQ1 2007","FQ1 2007","Currency=USD","Period=FQ","BEST_FPERIOD_OVERRIDE=FQ","FILING_STATUS=OR","FA_ADJUSTED=GAAP","Sort=A","Dates=H","DateFormat=P","Fill=—","Direction=H","UseDPDF=Y")</f>
        <v>13.6088</v>
      </c>
      <c r="AL11" s="14">
        <f>_xll.BDH("XOM US Equity","REVENUE_PER_SH","FQ2 2007","FQ2 2007","Currency=USD","Period=FQ","BEST_FPERIOD_OVERRIDE=FQ","FILING_STATUS=OR","FA_ADJUSTED=GAAP","Sort=A","Dates=H","DateFormat=P","Fill=—","Direction=H","UseDPDF=Y")</f>
        <v>15.7064</v>
      </c>
      <c r="AM11" s="14">
        <f>_xll.BDH("XOM US Equity","REVENUE_PER_SH","FQ3 2007","FQ3 2007","Currency=USD","Period=FQ","BEST_FPERIOD_OVERRIDE=FQ","FILING_STATUS=OR","FA_ADJUSTED=GAAP","Sort=A","Dates=H","DateFormat=P","Fill=—","Direction=H","UseDPDF=Y")</f>
        <v>16.665399999999998</v>
      </c>
      <c r="AN11" s="14">
        <f>_xll.BDH("XOM US Equity","REVENUE_PER_SH","FQ4 2007","FQ4 2007","Currency=USD","Period=FQ","BEST_FPERIOD_OVERRIDE=FQ","FILING_STATUS=OR","FA_ADJUSTED=GAAP","Sort=A","Dates=H","DateFormat=P","Fill=—","Direction=H","UseDPDF=Y")</f>
        <v>19.0487</v>
      </c>
      <c r="AO11" s="14">
        <f>_xll.BDH("XOM US Equity","REVENUE_PER_SH","FQ1 2008","FQ1 2008","Currency=USD","Period=FQ","BEST_FPERIOD_OVERRIDE=FQ","FILING_STATUS=OR","FA_ADJUSTED=GAAP","Sort=A","Dates=H","DateFormat=P","Fill=—","Direction=H","UseDPDF=Y")</f>
        <v>19.7682</v>
      </c>
      <c r="AP11" s="14">
        <f>_xll.BDH("XOM US Equity","REVENUE_PER_SH","FQ2 2008","FQ2 2008","Currency=USD","Period=FQ","BEST_FPERIOD_OVERRIDE=FQ","FILING_STATUS=OR","FA_ADJUSTED=GAAP","Sort=A","Dates=H","DateFormat=P","Fill=—","Direction=H","UseDPDF=Y")</f>
        <v>23.8873</v>
      </c>
    </row>
    <row r="12" spans="1:42" x14ac:dyDescent="0.25">
      <c r="A12" s="10" t="s">
        <v>153</v>
      </c>
      <c r="B12" s="10" t="s">
        <v>358</v>
      </c>
      <c r="C12" s="14">
        <f>_xll.BDH("XOM US Equity","EBITDA_PER_SH","FQ3 1998","FQ3 1998","Currency=USD","Period=FQ","BEST_FPERIOD_OVERRIDE=FQ","FILING_STATUS=OR","FA_ADJUSTED=GAAP","Sort=A","Dates=H","DateFormat=P","Fill=—","Direction=H","UseDPDF=Y")</f>
        <v>0.61580000000000001</v>
      </c>
      <c r="D12" s="14" t="str">
        <f>_xll.BDH("XOM US Equity","EBITDA_PER_SH","FQ4 1998","FQ4 1998","Currency=USD","Period=FQ","BEST_FPERIOD_OVERRIDE=FQ","FILING_STATUS=OR","FA_ADJUSTED=GAAP","Sort=A","Dates=H","DateFormat=P","Fill=—","Direction=H","UseDPDF=Y")</f>
        <v>—</v>
      </c>
      <c r="E12" s="14">
        <f>_xll.BDH("XOM US Equity","EBITDA_PER_SH","FQ1 1999","FQ1 1999","Currency=USD","Period=FQ","BEST_FPERIOD_OVERRIDE=FQ","FILING_STATUS=OR","FA_ADJUSTED=GAAP","Sort=A","Dates=H","DateFormat=P","Fill=—","Direction=H","UseDPDF=Y")</f>
        <v>0.41499999999999998</v>
      </c>
      <c r="F12" s="14">
        <f>_xll.BDH("XOM US Equity","EBITDA_PER_SH","FQ2 1999","FQ2 1999","Currency=USD","Period=FQ","BEST_FPERIOD_OVERRIDE=FQ","FILING_STATUS=OR","FA_ADJUSTED=GAAP","Sort=A","Dates=H","DateFormat=P","Fill=—","Direction=H","UseDPDF=Y")</f>
        <v>0.52329999999999999</v>
      </c>
      <c r="G12" s="14">
        <f>_xll.BDH("XOM US Equity","EBITDA_PER_SH","FQ3 1999","FQ3 1999","Currency=USD","Period=FQ","BEST_FPERIOD_OVERRIDE=FQ","FILING_STATUS=OR","FA_ADJUSTED=GAAP","Sort=A","Dates=H","DateFormat=P","Fill=—","Direction=H","UseDPDF=Y")</f>
        <v>0.68759999999999999</v>
      </c>
      <c r="H12" s="14">
        <f>_xll.BDH("XOM US Equity","EBITDA_PER_SH","FQ4 1999","FQ4 1999","Currency=USD","Period=FQ","BEST_FPERIOD_OVERRIDE=FQ","FILING_STATUS=OR","FA_ADJUSTED=GAAP","Sort=A","Dates=H","DateFormat=P","Fill=—","Direction=H","UseDPDF=Y")</f>
        <v>1.4518</v>
      </c>
      <c r="I12" s="14">
        <f>_xll.BDH("XOM US Equity","EBITDA_PER_SH","FQ1 2000","FQ1 2000","Currency=USD","Period=FQ","BEST_FPERIOD_OVERRIDE=FQ","FILING_STATUS=OR","FA_ADJUSTED=GAAP","Sort=A","Dates=H","DateFormat=P","Fill=—","Direction=H","UseDPDF=Y")</f>
        <v>1.0584</v>
      </c>
      <c r="J12" s="14">
        <f>_xll.BDH("XOM US Equity","EBITDA_PER_SH","FQ2 2000","FQ2 2000","Currency=USD","Period=FQ","BEST_FPERIOD_OVERRIDE=FQ","FILING_STATUS=OR","FA_ADJUSTED=GAAP","Sort=A","Dates=H","DateFormat=P","Fill=—","Direction=H","UseDPDF=Y")</f>
        <v>1.1580999999999999</v>
      </c>
      <c r="K12" s="14">
        <f>_xll.BDH("XOM US Equity","EBITDA_PER_SH","FQ3 2000","FQ3 2000","Currency=USD","Period=FQ","BEST_FPERIOD_OVERRIDE=FQ","FILING_STATUS=OR","FA_ADJUSTED=GAAP","Sort=A","Dates=H","DateFormat=P","Fill=—","Direction=H","UseDPDF=Y")</f>
        <v>1.1609</v>
      </c>
      <c r="L12" s="14">
        <f>_xll.BDH("XOM US Equity","EBITDA_PER_SH","FQ4 2000","FQ4 2000","Currency=USD","Period=FQ","BEST_FPERIOD_OVERRIDE=FQ","FILING_STATUS=OR","FA_ADJUSTED=GAAP","Sort=A","Dates=H","DateFormat=P","Fill=—","Direction=H","UseDPDF=Y")</f>
        <v>1.4131</v>
      </c>
      <c r="M12" s="14">
        <f>_xll.BDH("XOM US Equity","EBITDA_PER_SH","FQ1 2001","FQ1 2001","Currency=USD","Period=FQ","BEST_FPERIOD_OVERRIDE=FQ","FILING_STATUS=OR","FA_ADJUSTED=GAAP","Sort=A","Dates=H","DateFormat=P","Fill=—","Direction=H","UseDPDF=Y")</f>
        <v>1.3573</v>
      </c>
      <c r="N12" s="14">
        <f>_xll.BDH("XOM US Equity","EBITDA_PER_SH","FQ2 2001","FQ2 2001","Currency=USD","Period=FQ","BEST_FPERIOD_OVERRIDE=FQ","FILING_STATUS=OR","FA_ADJUSTED=GAAP","Sort=A","Dates=H","DateFormat=P","Fill=—","Direction=H","UseDPDF=Y")</f>
        <v>1.1594</v>
      </c>
      <c r="O12" s="14">
        <f>_xll.BDH("XOM US Equity","EBITDA_PER_SH","FQ3 2001","FQ3 2001","Currency=USD","Period=FQ","BEST_FPERIOD_OVERRIDE=FQ","FILING_STATUS=OR","FA_ADJUSTED=GAAP","Sort=A","Dates=H","DateFormat=P","Fill=—","Direction=H","UseDPDF=Y")</f>
        <v>0.9577</v>
      </c>
      <c r="P12" s="14">
        <f>_xll.BDH("XOM US Equity","EBITDA_PER_SH","FQ4 2001","FQ4 2001","Currency=USD","Period=FQ","BEST_FPERIOD_OVERRIDE=FQ","FILING_STATUS=OR","FA_ADJUSTED=GAAP","Sort=A","Dates=H","DateFormat=P","Fill=—","Direction=H","UseDPDF=Y")</f>
        <v>0.7056</v>
      </c>
      <c r="Q12" s="14">
        <f>_xll.BDH("XOM US Equity","EBITDA_PER_SH","FQ1 2002","FQ1 2002","Currency=USD","Period=FQ","BEST_FPERIOD_OVERRIDE=FQ","FILING_STATUS=OR","FA_ADJUSTED=GAAP","Sort=A","Dates=H","DateFormat=P","Fill=—","Direction=H","UseDPDF=Y")</f>
        <v>0.7</v>
      </c>
      <c r="R12" s="14">
        <f>_xll.BDH("XOM US Equity","EBITDA_PER_SH","FQ2 2002","FQ2 2002","Currency=USD","Period=FQ","BEST_FPERIOD_OVERRIDE=FQ","FILING_STATUS=OR","FA_ADJUSTED=GAAP","Sort=A","Dates=H","DateFormat=P","Fill=—","Direction=H","UseDPDF=Y")</f>
        <v>0.82620000000000005</v>
      </c>
      <c r="S12" s="14">
        <f>_xll.BDH("XOM US Equity","EBITDA_PER_SH","FQ3 2002","FQ3 2002","Currency=USD","Period=FQ","BEST_FPERIOD_OVERRIDE=FQ","FILING_STATUS=OR","FA_ADJUSTED=GAAP","Sort=A","Dates=H","DateFormat=P","Fill=—","Direction=H","UseDPDF=Y")</f>
        <v>0.89690000000000003</v>
      </c>
      <c r="T12" s="14">
        <f>_xll.BDH("XOM US Equity","EBITDA_PER_SH","FQ4 2002","FQ4 2002","Currency=USD","Period=FQ","BEST_FPERIOD_OVERRIDE=FQ","FILING_STATUS=OR","FA_ADJUSTED=GAAP","Sort=A","Dates=H","DateFormat=P","Fill=—","Direction=H","UseDPDF=Y")</f>
        <v>1.0337000000000001</v>
      </c>
      <c r="U12" s="14">
        <f>_xll.BDH("XOM US Equity","EBITDA_PER_SH","FQ1 2003","FQ1 2003","Currency=USD","Period=FQ","BEST_FPERIOD_OVERRIDE=FQ","FILING_STATUS=OR","FA_ADJUSTED=GAAP","Sort=A","Dates=H","DateFormat=P","Fill=—","Direction=H","UseDPDF=Y")</f>
        <v>1.3291999999999999</v>
      </c>
      <c r="V12" s="14">
        <f>_xll.BDH("XOM US Equity","EBITDA_PER_SH","FQ2 2003","FQ2 2003","Currency=USD","Period=FQ","BEST_FPERIOD_OVERRIDE=FQ","FILING_STATUS=OR","FA_ADJUSTED=GAAP","Sort=A","Dates=H","DateFormat=P","Fill=—","Direction=H","UseDPDF=Y")</f>
        <v>1.2157</v>
      </c>
      <c r="W12" s="14">
        <f>_xll.BDH("XOM US Equity","EBITDA_PER_SH","FQ3 2003","FQ3 2003","Currency=USD","Period=FQ","BEST_FPERIOD_OVERRIDE=FQ","FILING_STATUS=OR","FA_ADJUSTED=GAAP","Sort=A","Dates=H","DateFormat=P","Fill=—","Direction=H","UseDPDF=Y")</f>
        <v>1.0916999999999999</v>
      </c>
      <c r="X12" s="14">
        <f>_xll.BDH("XOM US Equity","EBITDA_PER_SH","FQ4 2003","FQ4 2003","Currency=USD","Period=FQ","BEST_FPERIOD_OVERRIDE=FQ","FILING_STATUS=OR","FA_ADJUSTED=GAAP","Sort=A","Dates=H","DateFormat=P","Fill=—","Direction=H","UseDPDF=Y")</f>
        <v>1.2206999999999999</v>
      </c>
      <c r="Y12" s="14">
        <f>_xll.BDH("XOM US Equity","EBITDA_PER_SH","FQ1 2004","FQ1 2004","Currency=USD","Period=FQ","BEST_FPERIOD_OVERRIDE=FQ","FILING_STATUS=OR","FA_ADJUSTED=GAAP","Sort=A","Dates=H","DateFormat=P","Fill=—","Direction=H","UseDPDF=Y")</f>
        <v>1.5274000000000001</v>
      </c>
      <c r="Z12" s="14">
        <f>_xll.BDH("XOM US Equity","EBITDA_PER_SH","FQ2 2004","FQ2 2004","Currency=USD","Period=FQ","BEST_FPERIOD_OVERRIDE=FQ","FILING_STATUS=OR","FA_ADJUSTED=GAAP","Sort=A","Dates=H","DateFormat=P","Fill=—","Direction=H","UseDPDF=Y")</f>
        <v>1.6214</v>
      </c>
      <c r="AA12" s="14">
        <f>_xll.BDH("XOM US Equity","EBITDA_PER_SH","FQ3 2004","FQ3 2004","Currency=USD","Period=FQ","BEST_FPERIOD_OVERRIDE=FQ","FILING_STATUS=OR","FA_ADJUSTED=GAAP","Sort=A","Dates=H","DateFormat=P","Fill=—","Direction=H","UseDPDF=Y")</f>
        <v>1.7175</v>
      </c>
      <c r="AB12" s="14">
        <f>_xll.BDH("XOM US Equity","EBITDA_PER_SH","FQ4 2004","FQ4 2004","Currency=USD","Period=FQ","BEST_FPERIOD_OVERRIDE=FQ","FILING_STATUS=OR","FA_ADJUSTED=GAAP","Sort=A","Dates=H","DateFormat=P","Fill=—","Direction=H","UseDPDF=Y")</f>
        <v>2.1827000000000001</v>
      </c>
      <c r="AC12" s="14">
        <f>_xll.BDH("XOM US Equity","EBITDA_PER_SH","FQ1 2005","FQ1 2005","Currency=USD","Period=FQ","BEST_FPERIOD_OVERRIDE=FQ","FILING_STATUS=OR","FA_ADJUSTED=GAAP","Sort=A","Dates=H","DateFormat=P","Fill=—","Direction=H","UseDPDF=Y")</f>
        <v>2.0472999999999999</v>
      </c>
      <c r="AD12" s="14">
        <f>_xll.BDH("XOM US Equity","EBITDA_PER_SH","FQ2 2005","FQ2 2005","Currency=USD","Period=FQ","BEST_FPERIOD_OVERRIDE=FQ","FILING_STATUS=OR","FA_ADJUSTED=GAAP","Sort=A","Dates=H","DateFormat=P","Fill=—","Direction=H","UseDPDF=Y")</f>
        <v>2.1825999999999999</v>
      </c>
      <c r="AE12" s="14">
        <f>_xll.BDH("XOM US Equity","EBITDA_PER_SH","FQ3 2005","FQ3 2005","Currency=USD","Period=FQ","BEST_FPERIOD_OVERRIDE=FQ","FILING_STATUS=OR","FA_ADJUSTED=GAAP","Sort=A","Dates=H","DateFormat=P","Fill=—","Direction=H","UseDPDF=Y")</f>
        <v>2.3755999999999999</v>
      </c>
      <c r="AF12" s="14">
        <f>_xll.BDH("XOM US Equity","EBITDA_PER_SH","FQ4 2005","FQ4 2005","Currency=USD","Period=FQ","BEST_FPERIOD_OVERRIDE=FQ","FILING_STATUS=OR","FA_ADJUSTED=GAAP","Sort=A","Dates=H","DateFormat=P","Fill=—","Direction=H","UseDPDF=Y")</f>
        <v>2.831</v>
      </c>
      <c r="AG12" s="14">
        <f>_xll.BDH("XOM US Equity","EBITDA_PER_SH","FQ1 2006","FQ1 2006","Currency=USD","Period=FQ","BEST_FPERIOD_OVERRIDE=FQ","FILING_STATUS=OR","FA_ADJUSTED=GAAP","Sort=A","Dates=H","DateFormat=P","Fill=—","Direction=H","UseDPDF=Y")</f>
        <v>2.6017000000000001</v>
      </c>
      <c r="AH12" s="14">
        <f>_xll.BDH("XOM US Equity","EBITDA_PER_SH","FQ2 2006","FQ2 2006","Currency=USD","Period=FQ","BEST_FPERIOD_OVERRIDE=FQ","FILING_STATUS=OR","FA_ADJUSTED=GAAP","Sort=A","Dates=H","DateFormat=P","Fill=—","Direction=H","UseDPDF=Y")</f>
        <v>3.0672000000000001</v>
      </c>
      <c r="AI12" s="14">
        <f>_xll.BDH("XOM US Equity","EBITDA_PER_SH","FQ3 2006","FQ3 2006","Currency=USD","Period=FQ","BEST_FPERIOD_OVERRIDE=FQ","FILING_STATUS=OR","FA_ADJUSTED=GAAP","Sort=A","Dates=H","DateFormat=P","Fill=—","Direction=H","UseDPDF=Y")</f>
        <v>3.0977999999999999</v>
      </c>
      <c r="AJ12" s="14">
        <f>_xll.BDH("XOM US Equity","EBITDA_PER_SH","FQ4 2006","FQ4 2006","Currency=USD","Period=FQ","BEST_FPERIOD_OVERRIDE=FQ","FILING_STATUS=OR","FA_ADJUSTED=GAAP","Sort=A","Dates=H","DateFormat=P","Fill=—","Direction=H","UseDPDF=Y")</f>
        <v>2.7797999999999998</v>
      </c>
      <c r="AK12" s="14">
        <f>_xll.BDH("XOM US Equity","EBITDA_PER_SH","FQ1 2007","FQ1 2007","Currency=USD","Period=FQ","BEST_FPERIOD_OVERRIDE=FQ","FILING_STATUS=OR","FA_ADJUSTED=GAAP","Sort=A","Dates=H","DateFormat=P","Fill=—","Direction=H","UseDPDF=Y")</f>
        <v>2.8867000000000003</v>
      </c>
      <c r="AL12" s="14">
        <f>_xll.BDH("XOM US Equity","EBITDA_PER_SH","FQ2 2007","FQ2 2007","Currency=USD","Period=FQ","BEST_FPERIOD_OVERRIDE=FQ","FILING_STATUS=OR","FA_ADJUSTED=GAAP","Sort=A","Dates=H","DateFormat=P","Fill=—","Direction=H","UseDPDF=Y")</f>
        <v>3.2250000000000001</v>
      </c>
      <c r="AM12" s="14">
        <f>_xll.BDH("XOM US Equity","EBITDA_PER_SH","FQ3 2007","FQ3 2007","Currency=USD","Period=FQ","BEST_FPERIOD_OVERRIDE=FQ","FILING_STATUS=OR","FA_ADJUSTED=GAAP","Sort=A","Dates=H","DateFormat=P","Fill=—","Direction=H","UseDPDF=Y")</f>
        <v>3.1204999999999998</v>
      </c>
      <c r="AN12" s="14">
        <f>_xll.BDH("XOM US Equity","EBITDA_PER_SH","FQ4 2007","FQ4 2007","Currency=USD","Period=FQ","BEST_FPERIOD_OVERRIDE=FQ","FILING_STATUS=OR","FA_ADJUSTED=GAAP","Sort=A","Dates=H","DateFormat=P","Fill=—","Direction=H","UseDPDF=Y")</f>
        <v>3.4319000000000002</v>
      </c>
      <c r="AO12" s="14">
        <f>_xll.BDH("XOM US Equity","EBITDA_PER_SH","FQ1 2008","FQ1 2008","Currency=USD","Period=FQ","BEST_FPERIOD_OVERRIDE=FQ","FILING_STATUS=OR","FA_ADJUSTED=GAAP","Sort=A","Dates=H","DateFormat=P","Fill=—","Direction=H","UseDPDF=Y")</f>
        <v>3.9424999999999999</v>
      </c>
      <c r="AP12" s="14">
        <f>_xll.BDH("XOM US Equity","EBITDA_PER_SH","FQ2 2008","FQ2 2008","Currency=USD","Period=FQ","BEST_FPERIOD_OVERRIDE=FQ","FILING_STATUS=OR","FA_ADJUSTED=GAAP","Sort=A","Dates=H","DateFormat=P","Fill=—","Direction=H","UseDPDF=Y")</f>
        <v>4.1014999999999997</v>
      </c>
    </row>
    <row r="13" spans="1:42" x14ac:dyDescent="0.25">
      <c r="A13" s="10" t="s">
        <v>359</v>
      </c>
      <c r="B13" s="10" t="s">
        <v>360</v>
      </c>
      <c r="C13" s="14">
        <f>_xll.BDH("XOM US Equity","OPER_INC_PER_SH","FQ3 1998","FQ3 1998","Currency=USD","Period=FQ","BEST_FPERIOD_OVERRIDE=FQ","FILING_STATUS=OR","FA_ADJUSTED=GAAP","Sort=A","Dates=H","DateFormat=P","Fill=—","Direction=H","UseDPDF=Y")</f>
        <v>0.34129999999999999</v>
      </c>
      <c r="D13" s="14" t="str">
        <f>_xll.BDH("XOM US Equity","OPER_INC_PER_SH","FQ4 1998","FQ4 1998","Currency=USD","Period=FQ","BEST_FPERIOD_OVERRIDE=FQ","FILING_STATUS=OR","FA_ADJUSTED=GAAP","Sort=A","Dates=H","DateFormat=P","Fill=—","Direction=H","UseDPDF=Y")</f>
        <v>—</v>
      </c>
      <c r="E13" s="14">
        <f>_xll.BDH("XOM US Equity","OPER_INC_PER_SH","FQ1 1999","FQ1 1999","Currency=USD","Period=FQ","BEST_FPERIOD_OVERRIDE=FQ","FILING_STATUS=OR","FA_ADJUSTED=GAAP","Sort=A","Dates=H","DateFormat=P","Fill=—","Direction=H","UseDPDF=Y")</f>
        <v>0.1003</v>
      </c>
      <c r="F13" s="14">
        <f>_xll.BDH("XOM US Equity","OPER_INC_PER_SH","FQ2 1999","FQ2 1999","Currency=USD","Period=FQ","BEST_FPERIOD_OVERRIDE=FQ","FILING_STATUS=OR","FA_ADJUSTED=GAAP","Sort=A","Dates=H","DateFormat=P","Fill=—","Direction=H","UseDPDF=Y")</f>
        <v>0.24590000000000001</v>
      </c>
      <c r="G13" s="14">
        <f>_xll.BDH("XOM US Equity","OPER_INC_PER_SH","FQ3 1999","FQ3 1999","Currency=USD","Period=FQ","BEST_FPERIOD_OVERRIDE=FQ","FILING_STATUS=OR","FA_ADJUSTED=GAAP","Sort=A","Dates=H","DateFormat=P","Fill=—","Direction=H","UseDPDF=Y")</f>
        <v>0.41599999999999998</v>
      </c>
      <c r="H13" s="14">
        <f>_xll.BDH("XOM US Equity","OPER_INC_PER_SH","FQ4 1999","FQ4 1999","Currency=USD","Period=FQ","BEST_FPERIOD_OVERRIDE=FQ","FILING_STATUS=OR","FA_ADJUSTED=GAAP","Sort=A","Dates=H","DateFormat=P","Fill=—","Direction=H","UseDPDF=Y")</f>
        <v>0.85660000000000003</v>
      </c>
      <c r="I13" s="14">
        <f>_xll.BDH("XOM US Equity","OPER_INC_PER_SH","FQ1 2000","FQ1 2000","Currency=USD","Period=FQ","BEST_FPERIOD_OVERRIDE=FQ","FILING_STATUS=OR","FA_ADJUSTED=GAAP","Sort=A","Dates=H","DateFormat=P","Fill=—","Direction=H","UseDPDF=Y")</f>
        <v>0.75239999999999996</v>
      </c>
      <c r="J13" s="14">
        <f>_xll.BDH("XOM US Equity","OPER_INC_PER_SH","FQ2 2000","FQ2 2000","Currency=USD","Period=FQ","BEST_FPERIOD_OVERRIDE=FQ","FILING_STATUS=OR","FA_ADJUSTED=GAAP","Sort=A","Dates=H","DateFormat=P","Fill=—","Direction=H","UseDPDF=Y")</f>
        <v>0.87960000000000005</v>
      </c>
      <c r="K13" s="14">
        <f>_xll.BDH("XOM US Equity","OPER_INC_PER_SH","FQ3 2000","FQ3 2000","Currency=USD","Period=FQ","BEST_FPERIOD_OVERRIDE=FQ","FILING_STATUS=OR","FA_ADJUSTED=GAAP","Sort=A","Dates=H","DateFormat=P","Fill=—","Direction=H","UseDPDF=Y")</f>
        <v>0.88780000000000003</v>
      </c>
      <c r="L13" s="14">
        <f>_xll.BDH("XOM US Equity","OPER_INC_PER_SH","FQ4 2000","FQ4 2000","Currency=USD","Period=FQ","BEST_FPERIOD_OVERRIDE=FQ","FILING_STATUS=OR","FA_ADJUSTED=GAAP","Sort=A","Dates=H","DateFormat=P","Fill=—","Direction=H","UseDPDF=Y")</f>
        <v>1.1014999999999999</v>
      </c>
      <c r="M13" s="14">
        <f>_xll.BDH("XOM US Equity","OPER_INC_PER_SH","FQ1 2001","FQ1 2001","Currency=USD","Period=FQ","BEST_FPERIOD_OVERRIDE=FQ","FILING_STATUS=OR","FA_ADJUSTED=GAAP","Sort=A","Dates=H","DateFormat=P","Fill=—","Direction=H","UseDPDF=Y")</f>
        <v>1.0714999999999999</v>
      </c>
      <c r="N13" s="14">
        <f>_xll.BDH("XOM US Equity","OPER_INC_PER_SH","FQ2 2001","FQ2 2001","Currency=USD","Period=FQ","BEST_FPERIOD_OVERRIDE=FQ","FILING_STATUS=OR","FA_ADJUSTED=GAAP","Sort=A","Dates=H","DateFormat=P","Fill=—","Direction=H","UseDPDF=Y")</f>
        <v>0.88749999999999996</v>
      </c>
      <c r="O13" s="14">
        <f>_xll.BDH("XOM US Equity","OPER_INC_PER_SH","FQ3 2001","FQ3 2001","Currency=USD","Period=FQ","BEST_FPERIOD_OVERRIDE=FQ","FILING_STATUS=OR","FA_ADJUSTED=GAAP","Sort=A","Dates=H","DateFormat=P","Fill=—","Direction=H","UseDPDF=Y")</f>
        <v>0.67210000000000003</v>
      </c>
      <c r="P13" s="14">
        <f>_xll.BDH("XOM US Equity","OPER_INC_PER_SH","FQ4 2001","FQ4 2001","Currency=USD","Period=FQ","BEST_FPERIOD_OVERRIDE=FQ","FILING_STATUS=OR","FA_ADJUSTED=GAAP","Sort=A","Dates=H","DateFormat=P","Fill=—","Direction=H","UseDPDF=Y")</f>
        <v>0.39190000000000003</v>
      </c>
      <c r="Q13" s="14">
        <f>_xll.BDH("XOM US Equity","OPER_INC_PER_SH","FQ1 2002","FQ1 2002","Currency=USD","Period=FQ","BEST_FPERIOD_OVERRIDE=FQ","FILING_STATUS=OR","FA_ADJUSTED=GAAP","Sort=A","Dates=H","DateFormat=P","Fill=—","Direction=H","UseDPDF=Y")</f>
        <v>0.40260000000000001</v>
      </c>
      <c r="R13" s="14">
        <f>_xll.BDH("XOM US Equity","OPER_INC_PER_SH","FQ2 2002","FQ2 2002","Currency=USD","Period=FQ","BEST_FPERIOD_OVERRIDE=FQ","FILING_STATUS=OR","FA_ADJUSTED=GAAP","Sort=A","Dates=H","DateFormat=P","Fill=—","Direction=H","UseDPDF=Y")</f>
        <v>0.52769999999999995</v>
      </c>
      <c r="S13" s="14">
        <f>_xll.BDH("XOM US Equity","OPER_INC_PER_SH","FQ3 2002","FQ3 2002","Currency=USD","Period=FQ","BEST_FPERIOD_OVERRIDE=FQ","FILING_STATUS=OR","FA_ADJUSTED=GAAP","Sort=A","Dates=H","DateFormat=P","Fill=—","Direction=H","UseDPDF=Y")</f>
        <v>0.57120000000000004</v>
      </c>
      <c r="T13" s="14">
        <f>_xll.BDH("XOM US Equity","OPER_INC_PER_SH","FQ4 2002","FQ4 2002","Currency=USD","Period=FQ","BEST_FPERIOD_OVERRIDE=FQ","FILING_STATUS=OR","FA_ADJUSTED=GAAP","Sort=A","Dates=H","DateFormat=P","Fill=—","Direction=H","UseDPDF=Y")</f>
        <v>0.72450000000000003</v>
      </c>
      <c r="U13" s="14">
        <f>_xll.BDH("XOM US Equity","OPER_INC_PER_SH","FQ1 2003","FQ1 2003","Currency=USD","Period=FQ","BEST_FPERIOD_OVERRIDE=FQ","FILING_STATUS=OR","FA_ADJUSTED=GAAP","Sort=A","Dates=H","DateFormat=P","Fill=—","Direction=H","UseDPDF=Y")</f>
        <v>1.0026999999999999</v>
      </c>
      <c r="V13" s="14">
        <f>_xll.BDH("XOM US Equity","OPER_INC_PER_SH","FQ2 2003","FQ2 2003","Currency=USD","Period=FQ","BEST_FPERIOD_OVERRIDE=FQ","FILING_STATUS=OR","FA_ADJUSTED=GAAP","Sort=A","Dates=H","DateFormat=P","Fill=—","Direction=H","UseDPDF=Y")</f>
        <v>0.88970000000000005</v>
      </c>
      <c r="W13" s="14">
        <f>_xll.BDH("XOM US Equity","OPER_INC_PER_SH","FQ3 2003","FQ3 2003","Currency=USD","Period=FQ","BEST_FPERIOD_OVERRIDE=FQ","FILING_STATUS=OR","FA_ADJUSTED=GAAP","Sort=A","Dates=H","DateFormat=P","Fill=—","Direction=H","UseDPDF=Y")</f>
        <v>0.75890000000000002</v>
      </c>
      <c r="X13" s="14">
        <f>_xll.BDH("XOM US Equity","OPER_INC_PER_SH","FQ4 2003","FQ4 2003","Currency=USD","Period=FQ","BEST_FPERIOD_OVERRIDE=FQ","FILING_STATUS=OR","FA_ADJUSTED=GAAP","Sort=A","Dates=H","DateFormat=P","Fill=—","Direction=H","UseDPDF=Y")</f>
        <v>0.84179999999999999</v>
      </c>
      <c r="Y13" s="14">
        <f>_xll.BDH("XOM US Equity","OPER_INC_PER_SH","FQ1 2004","FQ1 2004","Currency=USD","Period=FQ","BEST_FPERIOD_OVERRIDE=FQ","FILING_STATUS=OR","FA_ADJUSTED=GAAP","Sort=A","Dates=H","DateFormat=P","Fill=—","Direction=H","UseDPDF=Y")</f>
        <v>1.1647000000000001</v>
      </c>
      <c r="Z13" s="14">
        <f>_xll.BDH("XOM US Equity","OPER_INC_PER_SH","FQ2 2004","FQ2 2004","Currency=USD","Period=FQ","BEST_FPERIOD_OVERRIDE=FQ","FILING_STATUS=OR","FA_ADJUSTED=GAAP","Sort=A","Dates=H","DateFormat=P","Fill=—","Direction=H","UseDPDF=Y")</f>
        <v>1.2602</v>
      </c>
      <c r="AA13" s="14">
        <f>_xll.BDH("XOM US Equity","OPER_INC_PER_SH","FQ3 2004","FQ3 2004","Currency=USD","Period=FQ","BEST_FPERIOD_OVERRIDE=FQ","FILING_STATUS=OR","FA_ADJUSTED=GAAP","Sort=A","Dates=H","DateFormat=P","Fill=—","Direction=H","UseDPDF=Y")</f>
        <v>1.3413999999999999</v>
      </c>
      <c r="AB13" s="14">
        <f>_xll.BDH("XOM US Equity","OPER_INC_PER_SH","FQ4 2004","FQ4 2004","Currency=USD","Period=FQ","BEST_FPERIOD_OVERRIDE=FQ","FILING_STATUS=OR","FA_ADJUSTED=GAAP","Sort=A","Dates=H","DateFormat=P","Fill=—","Direction=H","UseDPDF=Y")</f>
        <v>1.7751000000000001</v>
      </c>
      <c r="AC13" s="14">
        <f>_xll.BDH("XOM US Equity","OPER_INC_PER_SH","FQ1 2005","FQ1 2005","Currency=USD","Period=FQ","BEST_FPERIOD_OVERRIDE=FQ","FILING_STATUS=OR","FA_ADJUSTED=GAAP","Sort=A","Dates=H","DateFormat=P","Fill=—","Direction=H","UseDPDF=Y")</f>
        <v>1.6461999999999999</v>
      </c>
      <c r="AD13" s="14">
        <f>_xll.BDH("XOM US Equity","OPER_INC_PER_SH","FQ2 2005","FQ2 2005","Currency=USD","Period=FQ","BEST_FPERIOD_OVERRIDE=FQ","FILING_STATUS=OR","FA_ADJUSTED=GAAP","Sort=A","Dates=H","DateFormat=P","Fill=—","Direction=H","UseDPDF=Y")</f>
        <v>1.7838000000000001</v>
      </c>
      <c r="AE13" s="14">
        <f>_xll.BDH("XOM US Equity","OPER_INC_PER_SH","FQ3 2005","FQ3 2005","Currency=USD","Period=FQ","BEST_FPERIOD_OVERRIDE=FQ","FILING_STATUS=OR","FA_ADJUSTED=GAAP","Sort=A","Dates=H","DateFormat=P","Fill=—","Direction=H","UseDPDF=Y")</f>
        <v>1.9729000000000001</v>
      </c>
      <c r="AF13" s="14">
        <f>_xll.BDH("XOM US Equity","OPER_INC_PER_SH","FQ4 2005","FQ4 2005","Currency=USD","Period=FQ","BEST_FPERIOD_OVERRIDE=FQ","FILING_STATUS=OR","FA_ADJUSTED=GAAP","Sort=A","Dates=H","DateFormat=P","Fill=—","Direction=H","UseDPDF=Y")</f>
        <v>2.4020000000000001</v>
      </c>
      <c r="AG13" s="14">
        <f>_xll.BDH("XOM US Equity","OPER_INC_PER_SH","FQ1 2006","FQ1 2006","Currency=USD","Period=FQ","BEST_FPERIOD_OVERRIDE=FQ","FILING_STATUS=OR","FA_ADJUSTED=GAAP","Sort=A","Dates=H","DateFormat=P","Fill=—","Direction=H","UseDPDF=Y")</f>
        <v>2.1659999999999999</v>
      </c>
      <c r="AH13" s="14">
        <f>_xll.BDH("XOM US Equity","OPER_INC_PER_SH","FQ2 2006","FQ2 2006","Currency=USD","Period=FQ","BEST_FPERIOD_OVERRIDE=FQ","FILING_STATUS=OR","FA_ADJUSTED=GAAP","Sort=A","Dates=H","DateFormat=P","Fill=—","Direction=H","UseDPDF=Y")</f>
        <v>2.6048999999999998</v>
      </c>
      <c r="AI13" s="14">
        <f>_xll.BDH("XOM US Equity","OPER_INC_PER_SH","FQ3 2006","FQ3 2006","Currency=USD","Period=FQ","BEST_FPERIOD_OVERRIDE=FQ","FILING_STATUS=OR","FA_ADJUSTED=GAAP","Sort=A","Dates=H","DateFormat=P","Fill=—","Direction=H","UseDPDF=Y")</f>
        <v>2.6320000000000001</v>
      </c>
      <c r="AJ13" s="14">
        <f>_xll.BDH("XOM US Equity","OPER_INC_PER_SH","FQ4 2006","FQ4 2006","Currency=USD","Period=FQ","BEST_FPERIOD_OVERRIDE=FQ","FILING_STATUS=OR","FA_ADJUSTED=GAAP","Sort=A","Dates=H","DateFormat=P","Fill=—","Direction=H","UseDPDF=Y")</f>
        <v>2.2130999999999998</v>
      </c>
      <c r="AK13" s="14">
        <f>_xll.BDH("XOM US Equity","OPER_INC_PER_SH","FQ1 2007","FQ1 2007","Currency=USD","Period=FQ","BEST_FPERIOD_OVERRIDE=FQ","FILING_STATUS=OR","FA_ADJUSTED=GAAP","Sort=A","Dates=H","DateFormat=P","Fill=—","Direction=H","UseDPDF=Y")</f>
        <v>2.3660000000000001</v>
      </c>
      <c r="AL13" s="14">
        <f>_xll.BDH("XOM US Equity","OPER_INC_PER_SH","FQ2 2007","FQ2 2007","Currency=USD","Period=FQ","BEST_FPERIOD_OVERRIDE=FQ","FILING_STATUS=OR","FA_ADJUSTED=GAAP","Sort=A","Dates=H","DateFormat=P","Fill=—","Direction=H","UseDPDF=Y")</f>
        <v>2.6859999999999999</v>
      </c>
      <c r="AM13" s="14">
        <f>_xll.BDH("XOM US Equity","OPER_INC_PER_SH","FQ3 2007","FQ3 2007","Currency=USD","Period=FQ","BEST_FPERIOD_OVERRIDE=FQ","FILING_STATUS=OR","FA_ADJUSTED=GAAP","Sort=A","Dates=H","DateFormat=P","Fill=—","Direction=H","UseDPDF=Y")</f>
        <v>2.5430000000000001</v>
      </c>
      <c r="AN13" s="14">
        <f>_xll.BDH("XOM US Equity","OPER_INC_PER_SH","FQ4 2007","FQ4 2007","Currency=USD","Period=FQ","BEST_FPERIOD_OVERRIDE=FQ","FILING_STATUS=OR","FA_ADJUSTED=GAAP","Sort=A","Dates=H","DateFormat=P","Fill=—","Direction=H","UseDPDF=Y")</f>
        <v>2.8500999999999999</v>
      </c>
      <c r="AO13" s="14">
        <f>_xll.BDH("XOM US Equity","OPER_INC_PER_SH","FQ1 2008","FQ1 2008","Currency=USD","Period=FQ","BEST_FPERIOD_OVERRIDE=FQ","FILING_STATUS=OR","FA_ADJUSTED=GAAP","Sort=A","Dates=H","DateFormat=P","Fill=—","Direction=H","UseDPDF=Y")</f>
        <v>3.3569</v>
      </c>
      <c r="AP13" s="14">
        <f>_xll.BDH("XOM US Equity","OPER_INC_PER_SH","FQ2 2008","FQ2 2008","Currency=USD","Period=FQ","BEST_FPERIOD_OVERRIDE=FQ","FILING_STATUS=OR","FA_ADJUSTED=GAAP","Sort=A","Dates=H","DateFormat=P","Fill=—","Direction=H","UseDPDF=Y")</f>
        <v>3.5074000000000001</v>
      </c>
    </row>
    <row r="14" spans="1:42" x14ac:dyDescent="0.25">
      <c r="A14" s="10" t="s">
        <v>361</v>
      </c>
      <c r="B14" s="10" t="s">
        <v>136</v>
      </c>
      <c r="C14" s="14">
        <f>_xll.BDH("XOM US Equity","IS_EPS","FQ3 1998","FQ3 1998","Currency=USD","Period=FQ","BEST_FPERIOD_OVERRIDE=FQ","FILING_STATUS=OR","FA_ADJUSTED=GAAP","Sort=A","Dates=H","DateFormat=P","Fill=—","Direction=H","UseDPDF=Y")</f>
        <v>0.28999999999999998</v>
      </c>
      <c r="D14" s="14">
        <f>_xll.BDH("XOM US Equity","IS_EPS","FQ4 1998","FQ4 1998","Currency=USD","Period=FQ","BEST_FPERIOD_OVERRIDE=FQ","FILING_STATUS=OR","FA_ADJUSTED=GAAP","Sort=A","Dates=H","DateFormat=P","Fill=—","Direction=H","UseDPDF=Y")</f>
        <v>0.315</v>
      </c>
      <c r="E14" s="14">
        <f>_xll.BDH("XOM US Equity","IS_EPS","FQ1 1999","FQ1 1999","Currency=USD","Period=FQ","BEST_FPERIOD_OVERRIDE=FQ","FILING_STATUS=OR","FA_ADJUSTED=GAAP","Sort=A","Dates=H","DateFormat=P","Fill=—","Direction=H","UseDPDF=Y")</f>
        <v>0.21</v>
      </c>
      <c r="F14" s="14">
        <f>_xll.BDH("XOM US Equity","IS_EPS","FQ2 1999","FQ2 1999","Currency=USD","Period=FQ","BEST_FPERIOD_OVERRIDE=FQ","FILING_STATUS=OR","FA_ADJUSTED=GAAP","Sort=A","Dates=H","DateFormat=P","Fill=—","Direction=H","UseDPDF=Y")</f>
        <v>0.25</v>
      </c>
      <c r="G14" s="14">
        <f>_xll.BDH("XOM US Equity","IS_EPS","FQ3 1999","FQ3 1999","Currency=USD","Period=FQ","BEST_FPERIOD_OVERRIDE=FQ","FILING_STATUS=OR","FA_ADJUSTED=GAAP","Sort=A","Dates=H","DateFormat=P","Fill=—","Direction=H","UseDPDF=Y")</f>
        <v>0.31</v>
      </c>
      <c r="H14" s="14">
        <f>_xll.BDH("XOM US Equity","IS_EPS","FQ4 1999","FQ4 1999","Currency=USD","Period=FQ","BEST_FPERIOD_OVERRIDE=FQ","FILING_STATUS=OR","FA_ADJUSTED=GAAP","Sort=A","Dates=H","DateFormat=P","Fill=—","Direction=H","UseDPDF=Y")</f>
        <v>0.6</v>
      </c>
      <c r="I14" s="14">
        <f>_xll.BDH("XOM US Equity","IS_EPS","FQ1 2000","FQ1 2000","Currency=USD","Period=FQ","BEST_FPERIOD_OVERRIDE=FQ","FILING_STATUS=OR","FA_ADJUSTED=GAAP","Sort=A","Dates=H","DateFormat=P","Fill=—","Direction=H","UseDPDF=Y")</f>
        <v>0.5</v>
      </c>
      <c r="J14" s="14">
        <f>_xll.BDH("XOM US Equity","IS_EPS","FQ2 2000","FQ2 2000","Currency=USD","Period=FQ","BEST_FPERIOD_OVERRIDE=FQ","FILING_STATUS=OR","FA_ADJUSTED=GAAP","Sort=A","Dates=H","DateFormat=P","Fill=—","Direction=H","UseDPDF=Y")</f>
        <v>0.66</v>
      </c>
      <c r="K14" s="14">
        <f>_xll.BDH("XOM US Equity","IS_EPS","FQ3 2000","FQ3 2000","Currency=USD","Period=FQ","BEST_FPERIOD_OVERRIDE=FQ","FILING_STATUS=OR","FA_ADJUSTED=GAAP","Sort=A","Dates=H","DateFormat=P","Fill=—","Direction=H","UseDPDF=Y")</f>
        <v>0.63</v>
      </c>
      <c r="L14" s="14">
        <f>_xll.BDH("XOM US Equity","IS_EPS","FQ4 2000","FQ4 2000","Currency=USD","Period=FQ","BEST_FPERIOD_OVERRIDE=FQ","FILING_STATUS=OR","FA_ADJUSTED=GAAP","Sort=A","Dates=H","DateFormat=P","Fill=—","Direction=H","UseDPDF=Y")</f>
        <v>0.76</v>
      </c>
      <c r="M14" s="14">
        <f>_xll.BDH("XOM US Equity","IS_EPS","FQ1 2001","FQ1 2001","Currency=USD","Period=FQ","BEST_FPERIOD_OVERRIDE=FQ","FILING_STATUS=OR","FA_ADJUSTED=GAAP","Sort=A","Dates=H","DateFormat=P","Fill=—","Direction=H","UseDPDF=Y")</f>
        <v>0.72</v>
      </c>
      <c r="N14" s="14">
        <f>_xll.BDH("XOM US Equity","IS_EPS","FQ2 2001","FQ2 2001","Currency=USD","Period=FQ","BEST_FPERIOD_OVERRIDE=FQ","FILING_STATUS=OR","FA_ADJUSTED=GAAP","Sort=A","Dates=H","DateFormat=P","Fill=—","Direction=H","UseDPDF=Y")</f>
        <v>0.66</v>
      </c>
      <c r="O14" s="14">
        <f>_xll.BDH("XOM US Equity","IS_EPS","FQ3 2001","FQ3 2001","Currency=USD","Period=FQ","BEST_FPERIOD_OVERRIDE=FQ","FILING_STATUS=OR","FA_ADJUSTED=GAAP","Sort=A","Dates=H","DateFormat=P","Fill=—","Direction=H","UseDPDF=Y")</f>
        <v>0.46</v>
      </c>
      <c r="P14" s="14">
        <f>_xll.BDH("XOM US Equity","IS_EPS","FQ4 2001","FQ4 2001","Currency=USD","Period=FQ","BEST_FPERIOD_OVERRIDE=FQ","FILING_STATUS=OR","FA_ADJUSTED=GAAP","Sort=A","Dates=H","DateFormat=P","Fill=—","Direction=H","UseDPDF=Y")</f>
        <v>0.39</v>
      </c>
      <c r="Q14" s="14">
        <f>_xll.BDH("XOM US Equity","IS_EPS","FQ1 2002","FQ1 2002","Currency=USD","Period=FQ","BEST_FPERIOD_OVERRIDE=FQ","FILING_STATUS=OR","FA_ADJUSTED=GAAP","Sort=A","Dates=H","DateFormat=P","Fill=—","Direction=H","UseDPDF=Y")</f>
        <v>0.3</v>
      </c>
      <c r="R14" s="14">
        <f>_xll.BDH("XOM US Equity","IS_EPS","FQ2 2002","FQ2 2002","Currency=USD","Period=FQ","BEST_FPERIOD_OVERRIDE=FQ","FILING_STATUS=OR","FA_ADJUSTED=GAAP","Sort=A","Dates=H","DateFormat=P","Fill=—","Direction=H","UseDPDF=Y")</f>
        <v>0.4</v>
      </c>
      <c r="S14" s="14">
        <f>_xll.BDH("XOM US Equity","IS_EPS","FQ3 2002","FQ3 2002","Currency=USD","Period=FQ","BEST_FPERIOD_OVERRIDE=FQ","FILING_STATUS=OR","FA_ADJUSTED=GAAP","Sort=A","Dates=H","DateFormat=P","Fill=—","Direction=H","UseDPDF=Y")</f>
        <v>0.39</v>
      </c>
      <c r="T14" s="14">
        <f>_xll.BDH("XOM US Equity","IS_EPS","FQ4 2002","FQ4 2002","Currency=USD","Period=FQ","BEST_FPERIOD_OVERRIDE=FQ","FILING_STATUS=OR","FA_ADJUSTED=GAAP","Sort=A","Dates=H","DateFormat=P","Fill=—","Direction=H","UseDPDF=Y")</f>
        <v>0.6</v>
      </c>
      <c r="U14" s="14">
        <f>_xll.BDH("XOM US Equity","IS_EPS","FQ1 2003","FQ1 2003","Currency=USD","Period=FQ","BEST_FPERIOD_OVERRIDE=FQ","FILING_STATUS=OR","FA_ADJUSTED=GAAP","Sort=A","Dates=H","DateFormat=P","Fill=—","Direction=H","UseDPDF=Y")</f>
        <v>1.05</v>
      </c>
      <c r="V14" s="14">
        <f>_xll.BDH("XOM US Equity","IS_EPS","FQ2 2003","FQ2 2003","Currency=USD","Period=FQ","BEST_FPERIOD_OVERRIDE=FQ","FILING_STATUS=OR","FA_ADJUSTED=GAAP","Sort=A","Dates=H","DateFormat=P","Fill=—","Direction=H","UseDPDF=Y")</f>
        <v>0.63</v>
      </c>
      <c r="W14" s="14">
        <f>_xll.BDH("XOM US Equity","IS_EPS","FQ3 2003","FQ3 2003","Currency=USD","Period=FQ","BEST_FPERIOD_OVERRIDE=FQ","FILING_STATUS=OR","FA_ADJUSTED=GAAP","Sort=A","Dates=H","DateFormat=P","Fill=—","Direction=H","UseDPDF=Y")</f>
        <v>0.55000000000000004</v>
      </c>
      <c r="X14" s="14">
        <f>_xll.BDH("XOM US Equity","IS_EPS","FQ4 2003","FQ4 2003","Currency=USD","Period=FQ","BEST_FPERIOD_OVERRIDE=FQ","FILING_STATUS=OR","FA_ADJUSTED=GAAP","Sort=A","Dates=H","DateFormat=P","Fill=—","Direction=H","UseDPDF=Y")</f>
        <v>1.01</v>
      </c>
      <c r="Y14" s="14">
        <f>_xll.BDH("XOM US Equity","IS_EPS","FQ1 2004","FQ1 2004","Currency=USD","Period=FQ","BEST_FPERIOD_OVERRIDE=FQ","FILING_STATUS=OR","FA_ADJUSTED=GAAP","Sort=A","Dates=H","DateFormat=P","Fill=—","Direction=H","UseDPDF=Y")</f>
        <v>0.83</v>
      </c>
      <c r="Z14" s="14">
        <f>_xll.BDH("XOM US Equity","IS_EPS","FQ2 2004","FQ2 2004","Currency=USD","Period=FQ","BEST_FPERIOD_OVERRIDE=FQ","FILING_STATUS=OR","FA_ADJUSTED=GAAP","Sort=A","Dates=H","DateFormat=P","Fill=—","Direction=H","UseDPDF=Y")</f>
        <v>0.89</v>
      </c>
      <c r="AA14" s="14">
        <f>_xll.BDH("XOM US Equity","IS_EPS","FQ3 2004","FQ3 2004","Currency=USD","Period=FQ","BEST_FPERIOD_OVERRIDE=FQ","FILING_STATUS=OR","FA_ADJUSTED=GAAP","Sort=A","Dates=H","DateFormat=P","Fill=—","Direction=H","UseDPDF=Y")</f>
        <v>0.88</v>
      </c>
      <c r="AB14" s="14">
        <f>_xll.BDH("XOM US Equity","IS_EPS","FQ4 2004","FQ4 2004","Currency=USD","Period=FQ","BEST_FPERIOD_OVERRIDE=FQ","FILING_STATUS=OR","FA_ADJUSTED=GAAP","Sort=A","Dates=H","DateFormat=P","Fill=—","Direction=H","UseDPDF=Y")</f>
        <v>1.31</v>
      </c>
      <c r="AC14" s="14">
        <f>_xll.BDH("XOM US Equity","IS_EPS","FQ1 2005","FQ1 2005","Currency=USD","Period=FQ","BEST_FPERIOD_OVERRIDE=FQ","FILING_STATUS=OR","FA_ADJUSTED=GAAP","Sort=A","Dates=H","DateFormat=P","Fill=—","Direction=H","UseDPDF=Y")</f>
        <v>1.23</v>
      </c>
      <c r="AD14" s="14">
        <f>_xll.BDH("XOM US Equity","IS_EPS","FQ2 2005","FQ2 2005","Currency=USD","Period=FQ","BEST_FPERIOD_OVERRIDE=FQ","FILING_STATUS=OR","FA_ADJUSTED=GAAP","Sort=A","Dates=H","DateFormat=P","Fill=—","Direction=H","UseDPDF=Y")</f>
        <v>1.21</v>
      </c>
      <c r="AE14" s="14">
        <f>_xll.BDH("XOM US Equity","IS_EPS","FQ3 2005","FQ3 2005","Currency=USD","Period=FQ","BEST_FPERIOD_OVERRIDE=FQ","FILING_STATUS=OR","FA_ADJUSTED=GAAP","Sort=A","Dates=H","DateFormat=P","Fill=—","Direction=H","UseDPDF=Y")</f>
        <v>1.6</v>
      </c>
      <c r="AF14" s="14">
        <f>_xll.BDH("XOM US Equity","IS_EPS","FQ4 2005","FQ4 2005","Currency=USD","Period=FQ","BEST_FPERIOD_OVERRIDE=FQ","FILING_STATUS=OR","FA_ADJUSTED=GAAP","Sort=A","Dates=H","DateFormat=P","Fill=—","Direction=H","UseDPDF=Y")</f>
        <v>1.72</v>
      </c>
      <c r="AG14" s="14">
        <f>_xll.BDH("XOM US Equity","IS_EPS","FQ1 2006","FQ1 2006","Currency=USD","Period=FQ","BEST_FPERIOD_OVERRIDE=FQ","FILING_STATUS=OR","FA_ADJUSTED=GAAP","Sort=A","Dates=H","DateFormat=P","Fill=—","Direction=H","UseDPDF=Y")</f>
        <v>1.38</v>
      </c>
      <c r="AH14" s="14">
        <f>_xll.BDH("XOM US Equity","IS_EPS","FQ2 2006","FQ2 2006","Currency=USD","Period=FQ","BEST_FPERIOD_OVERRIDE=FQ","FILING_STATUS=OR","FA_ADJUSTED=GAAP","Sort=A","Dates=H","DateFormat=P","Fill=—","Direction=H","UseDPDF=Y")</f>
        <v>1.74</v>
      </c>
      <c r="AI14" s="14">
        <f>_xll.BDH("XOM US Equity","IS_EPS","FQ3 2006","FQ3 2006","Currency=USD","Period=FQ","BEST_FPERIOD_OVERRIDE=FQ","FILING_STATUS=OR","FA_ADJUSTED=GAAP","Sort=A","Dates=H","DateFormat=P","Fill=—","Direction=H","UseDPDF=Y")</f>
        <v>1.79</v>
      </c>
      <c r="AJ14" s="14">
        <f>_xll.BDH("XOM US Equity","IS_EPS","FQ4 2006","FQ4 2006","Currency=USD","Period=FQ","BEST_FPERIOD_OVERRIDE=FQ","FILING_STATUS=OR","FA_ADJUSTED=GAAP","Sort=A","Dates=H","DateFormat=P","Fill=—","Direction=H","UseDPDF=Y")</f>
        <v>1.77</v>
      </c>
      <c r="AK14" s="14">
        <f>_xll.BDH("XOM US Equity","IS_EPS","FQ1 2007","FQ1 2007","Currency=USD","Period=FQ","BEST_FPERIOD_OVERRIDE=FQ","FILING_STATUS=OR","FA_ADJUSTED=GAAP","Sort=A","Dates=H","DateFormat=P","Fill=—","Direction=H","UseDPDF=Y")</f>
        <v>1.6400000000000001</v>
      </c>
      <c r="AL14" s="14">
        <f>_xll.BDH("XOM US Equity","IS_EPS","FQ2 2007","FQ2 2007","Currency=USD","Period=FQ","BEST_FPERIOD_OVERRIDE=FQ","FILING_STATUS=OR","FA_ADJUSTED=GAAP","Sort=A","Dates=H","DateFormat=P","Fill=—","Direction=H","UseDPDF=Y")</f>
        <v>1.85</v>
      </c>
      <c r="AM14" s="14">
        <f>_xll.BDH("XOM US Equity","IS_EPS","FQ3 2007","FQ3 2007","Currency=USD","Period=FQ","BEST_FPERIOD_OVERRIDE=FQ","FILING_STATUS=OR","FA_ADJUSTED=GAAP","Sort=A","Dates=H","DateFormat=P","Fill=—","Direction=H","UseDPDF=Y")</f>
        <v>1.72</v>
      </c>
      <c r="AN14" s="14">
        <f>_xll.BDH("XOM US Equity","IS_EPS","FQ4 2007","FQ4 2007","Currency=USD","Period=FQ","BEST_FPERIOD_OVERRIDE=FQ","FILING_STATUS=OR","FA_ADJUSTED=GAAP","Sort=A","Dates=H","DateFormat=P","Fill=—","Direction=H","UseDPDF=Y")</f>
        <v>2.15</v>
      </c>
      <c r="AO14" s="14">
        <f>_xll.BDH("XOM US Equity","IS_EPS","FQ1 2008","FQ1 2008","Currency=USD","Period=FQ","BEST_FPERIOD_OVERRIDE=FQ","FILING_STATUS=OR","FA_ADJUSTED=GAAP","Sort=A","Dates=H","DateFormat=P","Fill=—","Direction=H","UseDPDF=Y")</f>
        <v>2.0499999999999998</v>
      </c>
      <c r="AP14" s="14">
        <f>_xll.BDH("XOM US Equity","IS_EPS","FQ2 2008","FQ2 2008","Currency=USD","Period=FQ","BEST_FPERIOD_OVERRIDE=FQ","FILING_STATUS=OR","FA_ADJUSTED=GAAP","Sort=A","Dates=H","DateFormat=P","Fill=—","Direction=H","UseDPDF=Y")</f>
        <v>2.25</v>
      </c>
    </row>
    <row r="15" spans="1:42" x14ac:dyDescent="0.25">
      <c r="A15" s="10" t="s">
        <v>362</v>
      </c>
      <c r="B15" s="10" t="s">
        <v>138</v>
      </c>
      <c r="C15" s="14">
        <f>_xll.BDH("XOM US Equity","IS_EARN_BEF_XO_ITEMS_PER_SH","FQ3 1998","FQ3 1998","Currency=USD","Period=FQ","BEST_FPERIOD_OVERRIDE=FQ","FILING_STATUS=OR","Sort=A","Dates=H","DateFormat=P","Fill=—","Direction=H","UseDPDF=Y")</f>
        <v>0.28999999999999998</v>
      </c>
      <c r="D15" s="14">
        <f>_xll.BDH("XOM US Equity","IS_EARN_BEF_XO_ITEMS_PER_SH","FQ4 1998","FQ4 1998","Currency=USD","Period=FQ","BEST_FPERIOD_OVERRIDE=FQ","FILING_STATUS=OR","Sort=A","Dates=H","DateFormat=P","Fill=—","Direction=H","UseDPDF=Y")</f>
        <v>0.315</v>
      </c>
      <c r="E15" s="14">
        <f>_xll.BDH("XOM US Equity","IS_EARN_BEF_XO_ITEMS_PER_SH","FQ1 1999","FQ1 1999","Currency=USD","Period=FQ","BEST_FPERIOD_OVERRIDE=FQ","FILING_STATUS=OR","Sort=A","Dates=H","DateFormat=P","Fill=—","Direction=H","UseDPDF=Y")</f>
        <v>0.21</v>
      </c>
      <c r="F15" s="14">
        <f>_xll.BDH("XOM US Equity","IS_EARN_BEF_XO_ITEMS_PER_SH","FQ2 1999","FQ2 1999","Currency=USD","Period=FQ","BEST_FPERIOD_OVERRIDE=FQ","FILING_STATUS=OR","Sort=A","Dates=H","DateFormat=P","Fill=—","Direction=H","UseDPDF=Y")</f>
        <v>0.25</v>
      </c>
      <c r="G15" s="14">
        <f>_xll.BDH("XOM US Equity","IS_EARN_BEF_XO_ITEMS_PER_SH","FQ3 1999","FQ3 1999","Currency=USD","Period=FQ","BEST_FPERIOD_OVERRIDE=FQ","FILING_STATUS=OR","Sort=A","Dates=H","DateFormat=P","Fill=—","Direction=H","UseDPDF=Y")</f>
        <v>0.31</v>
      </c>
      <c r="H15" s="14">
        <f>_xll.BDH("XOM US Equity","IS_EARN_BEF_XO_ITEMS_PER_SH","FQ4 1999","FQ4 1999","Currency=USD","Period=FQ","BEST_FPERIOD_OVERRIDE=FQ","FILING_STATUS=OR","Sort=A","Dates=H","DateFormat=P","Fill=—","Direction=H","UseDPDF=Y")</f>
        <v>0.6</v>
      </c>
      <c r="I15" s="14">
        <f>_xll.BDH("XOM US Equity","IS_EARN_BEF_XO_ITEMS_PER_SH","FQ1 2000","FQ1 2000","Currency=USD","Period=FQ","BEST_FPERIOD_OVERRIDE=FQ","FILING_STATUS=OR","Sort=A","Dates=H","DateFormat=P","Fill=—","Direction=H","UseDPDF=Y")</f>
        <v>0.435</v>
      </c>
      <c r="J15" s="14">
        <f>_xll.BDH("XOM US Equity","IS_EARN_BEF_XO_ITEMS_PER_SH","FQ2 2000","FQ2 2000","Currency=USD","Period=FQ","BEST_FPERIOD_OVERRIDE=FQ","FILING_STATUS=OR","Sort=A","Dates=H","DateFormat=P","Fill=—","Direction=H","UseDPDF=Y")</f>
        <v>0.57999999999999996</v>
      </c>
      <c r="K15" s="14">
        <f>_xll.BDH("XOM US Equity","IS_EARN_BEF_XO_ITEMS_PER_SH","FQ3 2000","FQ3 2000","Currency=USD","Period=FQ","BEST_FPERIOD_OVERRIDE=FQ","FILING_STATUS=OR","Sort=A","Dates=H","DateFormat=P","Fill=—","Direction=H","UseDPDF=Y")</f>
        <v>0.56999999999999995</v>
      </c>
      <c r="L15" s="14">
        <f>_xll.BDH("XOM US Equity","IS_EARN_BEF_XO_ITEMS_PER_SH","FQ4 2000","FQ4 2000","Currency=USD","Period=FQ","BEST_FPERIOD_OVERRIDE=FQ","FILING_STATUS=OR","Sort=A","Dates=H","DateFormat=P","Fill=—","Direction=H","UseDPDF=Y")</f>
        <v>0.76</v>
      </c>
      <c r="M15" s="14">
        <f>_xll.BDH("XOM US Equity","IS_EARN_BEF_XO_ITEMS_PER_SH","FQ1 2001","FQ1 2001","Currency=USD","Period=FQ","BEST_FPERIOD_OVERRIDE=FQ","FILING_STATUS=OR","Sort=A","Dates=H","DateFormat=P","Fill=—","Direction=H","UseDPDF=Y")</f>
        <v>0.71</v>
      </c>
      <c r="N15" s="14">
        <f>_xll.BDH("XOM US Equity","IS_EARN_BEF_XO_ITEMS_PER_SH","FQ2 2001","FQ2 2001","Currency=USD","Period=FQ","BEST_FPERIOD_OVERRIDE=FQ","FILING_STATUS=OR","Sort=A","Dates=H","DateFormat=P","Fill=—","Direction=H","UseDPDF=Y")</f>
        <v>0.64</v>
      </c>
      <c r="O15" s="14">
        <f>_xll.BDH("XOM US Equity","IS_EARN_BEF_XO_ITEMS_PER_SH","FQ3 2001","FQ3 2001","Currency=USD","Period=FQ","BEST_FPERIOD_OVERRIDE=FQ","FILING_STATUS=OR","Sort=A","Dates=H","DateFormat=P","Fill=—","Direction=H","UseDPDF=Y")</f>
        <v>0.46</v>
      </c>
      <c r="P15" s="14">
        <f>_xll.BDH("XOM US Equity","IS_EARN_BEF_XO_ITEMS_PER_SH","FQ4 2001","FQ4 2001","Currency=USD","Period=FQ","BEST_FPERIOD_OVERRIDE=FQ","FILING_STATUS=OR","Sort=A","Dates=H","DateFormat=P","Fill=—","Direction=H","UseDPDF=Y")</f>
        <v>0.39</v>
      </c>
      <c r="Q15" s="14">
        <f>_xll.BDH("XOM US Equity","IS_EARN_BEF_XO_ITEMS_PER_SH","FQ1 2002","FQ1 2002","Currency=USD","Period=FQ","BEST_FPERIOD_OVERRIDE=FQ","FILING_STATUS=OR","Sort=A","Dates=H","DateFormat=P","Fill=—","Direction=H","UseDPDF=Y")</f>
        <v>0.3</v>
      </c>
      <c r="R15" s="14">
        <f>_xll.BDH("XOM US Equity","IS_EARN_BEF_XO_ITEMS_PER_SH","FQ2 2002","FQ2 2002","Currency=USD","Period=FQ","BEST_FPERIOD_OVERRIDE=FQ","FILING_STATUS=OR","Sort=A","Dates=H","DateFormat=P","Fill=—","Direction=H","UseDPDF=Y")</f>
        <v>0.4</v>
      </c>
      <c r="S15" s="14">
        <f>_xll.BDH("XOM US Equity","IS_EARN_BEF_XO_ITEMS_PER_SH","FQ3 2002","FQ3 2002","Currency=USD","Period=FQ","BEST_FPERIOD_OVERRIDE=FQ","FILING_STATUS=OR","Sort=A","Dates=H","DateFormat=P","Fill=—","Direction=H","UseDPDF=Y")</f>
        <v>0.39</v>
      </c>
      <c r="T15" s="14">
        <f>_xll.BDH("XOM US Equity","IS_EARN_BEF_XO_ITEMS_PER_SH","FQ4 2002","FQ4 2002","Currency=USD","Period=FQ","BEST_FPERIOD_OVERRIDE=FQ","FILING_STATUS=OR","Sort=A","Dates=H","DateFormat=P","Fill=—","Direction=H","UseDPDF=Y")</f>
        <v>0.54</v>
      </c>
      <c r="U15" s="14">
        <f>_xll.BDH("XOM US Equity","IS_EARN_BEF_XO_ITEMS_PER_SH","FQ1 2003","FQ1 2003","Currency=USD","Period=FQ","BEST_FPERIOD_OVERRIDE=FQ","FILING_STATUS=OR","Sort=A","Dates=H","DateFormat=P","Fill=—","Direction=H","UseDPDF=Y")</f>
        <v>0.97</v>
      </c>
      <c r="V15" s="14">
        <f>_xll.BDH("XOM US Equity","IS_EARN_BEF_XO_ITEMS_PER_SH","FQ2 2003","FQ2 2003","Currency=USD","Period=FQ","BEST_FPERIOD_OVERRIDE=FQ","FILING_STATUS=OR","Sort=A","Dates=H","DateFormat=P","Fill=—","Direction=H","UseDPDF=Y")</f>
        <v>0.63</v>
      </c>
      <c r="W15" s="14">
        <f>_xll.BDH("XOM US Equity","IS_EARN_BEF_XO_ITEMS_PER_SH","FQ3 2003","FQ3 2003","Currency=USD","Period=FQ","BEST_FPERIOD_OVERRIDE=FQ","FILING_STATUS=OR","Sort=A","Dates=H","DateFormat=P","Fill=—","Direction=H","UseDPDF=Y")</f>
        <v>0.55000000000000004</v>
      </c>
      <c r="X15" s="14">
        <f>_xll.BDH("XOM US Equity","IS_EARN_BEF_XO_ITEMS_PER_SH","FQ4 2003","FQ4 2003","Currency=USD","Period=FQ","BEST_FPERIOD_OVERRIDE=FQ","FILING_STATUS=OR","Sort=A","Dates=H","DateFormat=P","Fill=—","Direction=H","UseDPDF=Y")</f>
        <v>1.01</v>
      </c>
      <c r="Y15" s="14">
        <f>_xll.BDH("XOM US Equity","IS_EARN_BEF_XO_ITEMS_PER_SH","FQ1 2004","FQ1 2004","Currency=USD","Period=FQ","BEST_FPERIOD_OVERRIDE=FQ","FILING_STATUS=OR","Sort=A","Dates=H","DateFormat=P","Fill=—","Direction=H","UseDPDF=Y")</f>
        <v>0.83</v>
      </c>
      <c r="Z15" s="14">
        <f>_xll.BDH("XOM US Equity","IS_EARN_BEF_XO_ITEMS_PER_SH","FQ2 2004","FQ2 2004","Currency=USD","Period=FQ","BEST_FPERIOD_OVERRIDE=FQ","FILING_STATUS=OR","Sort=A","Dates=H","DateFormat=P","Fill=—","Direction=H","UseDPDF=Y")</f>
        <v>0.89</v>
      </c>
      <c r="AA15" s="14">
        <f>_xll.BDH("XOM US Equity","IS_EARN_BEF_XO_ITEMS_PER_SH","FQ3 2004","FQ3 2004","Currency=USD","Period=FQ","BEST_FPERIOD_OVERRIDE=FQ","FILING_STATUS=OR","Sort=A","Dates=H","DateFormat=P","Fill=—","Direction=H","UseDPDF=Y")</f>
        <v>0.88</v>
      </c>
      <c r="AB15" s="14">
        <f>_xll.BDH("XOM US Equity","IS_EARN_BEF_XO_ITEMS_PER_SH","FQ4 2004","FQ4 2004","Currency=USD","Period=FQ","BEST_FPERIOD_OVERRIDE=FQ","FILING_STATUS=OR","Sort=A","Dates=H","DateFormat=P","Fill=—","Direction=H","UseDPDF=Y")</f>
        <v>1.31</v>
      </c>
      <c r="AC15" s="14">
        <f>_xll.BDH("XOM US Equity","IS_EARN_BEF_XO_ITEMS_PER_SH","FQ1 2005","FQ1 2005","Currency=USD","Period=FQ","BEST_FPERIOD_OVERRIDE=FQ","FILING_STATUS=OR","Sort=A","Dates=H","DateFormat=P","Fill=—","Direction=H","UseDPDF=Y")</f>
        <v>1.23</v>
      </c>
      <c r="AD15" s="14">
        <f>_xll.BDH("XOM US Equity","IS_EARN_BEF_XO_ITEMS_PER_SH","FQ2 2005","FQ2 2005","Currency=USD","Period=FQ","BEST_FPERIOD_OVERRIDE=FQ","FILING_STATUS=OR","Sort=A","Dates=H","DateFormat=P","Fill=—","Direction=H","UseDPDF=Y")</f>
        <v>1.21</v>
      </c>
      <c r="AE15" s="14">
        <f>_xll.BDH("XOM US Equity","IS_EARN_BEF_XO_ITEMS_PER_SH","FQ3 2005","FQ3 2005","Currency=USD","Period=FQ","BEST_FPERIOD_OVERRIDE=FQ","FILING_STATUS=OR","Sort=A","Dates=H","DateFormat=P","Fill=—","Direction=H","UseDPDF=Y")</f>
        <v>1.6</v>
      </c>
      <c r="AF15" s="14">
        <f>_xll.BDH("XOM US Equity","IS_EARN_BEF_XO_ITEMS_PER_SH","FQ4 2005","FQ4 2005","Currency=USD","Period=FQ","BEST_FPERIOD_OVERRIDE=FQ","FILING_STATUS=OR","Sort=A","Dates=H","DateFormat=P","Fill=—","Direction=H","UseDPDF=Y")</f>
        <v>1.72</v>
      </c>
      <c r="AG15" s="14">
        <f>_xll.BDH("XOM US Equity","IS_EARN_BEF_XO_ITEMS_PER_SH","FQ1 2006","FQ1 2006","Currency=USD","Period=FQ","BEST_FPERIOD_OVERRIDE=FQ","FILING_STATUS=OR","Sort=A","Dates=H","DateFormat=P","Fill=—","Direction=H","UseDPDF=Y")</f>
        <v>1.38</v>
      </c>
      <c r="AH15" s="14">
        <f>_xll.BDH("XOM US Equity","IS_EARN_BEF_XO_ITEMS_PER_SH","FQ2 2006","FQ2 2006","Currency=USD","Period=FQ","BEST_FPERIOD_OVERRIDE=FQ","FILING_STATUS=OR","Sort=A","Dates=H","DateFormat=P","Fill=—","Direction=H","UseDPDF=Y")</f>
        <v>1.74</v>
      </c>
      <c r="AI15" s="14">
        <f>_xll.BDH("XOM US Equity","IS_EARN_BEF_XO_ITEMS_PER_SH","FQ3 2006","FQ3 2006","Currency=USD","Period=FQ","BEST_FPERIOD_OVERRIDE=FQ","FILING_STATUS=OR","Sort=A","Dates=H","DateFormat=P","Fill=—","Direction=H","UseDPDF=Y")</f>
        <v>1.79</v>
      </c>
      <c r="AJ15" s="14">
        <f>_xll.BDH("XOM US Equity","IS_EARN_BEF_XO_ITEMS_PER_SH","FQ4 2006","FQ4 2006","Currency=USD","Period=FQ","BEST_FPERIOD_OVERRIDE=FQ","FILING_STATUS=OR","Sort=A","Dates=H","DateFormat=P","Fill=—","Direction=H","UseDPDF=Y")</f>
        <v>1.77</v>
      </c>
      <c r="AK15" s="14">
        <f>_xll.BDH("XOM US Equity","IS_EARN_BEF_XO_ITEMS_PER_SH","FQ1 2007","FQ1 2007","Currency=USD","Period=FQ","BEST_FPERIOD_OVERRIDE=FQ","FILING_STATUS=OR","Sort=A","Dates=H","DateFormat=P","Fill=—","Direction=H","UseDPDF=Y")</f>
        <v>1.6400000000000001</v>
      </c>
      <c r="AL15" s="14">
        <f>_xll.BDH("XOM US Equity","IS_EARN_BEF_XO_ITEMS_PER_SH","FQ2 2007","FQ2 2007","Currency=USD","Period=FQ","BEST_FPERIOD_OVERRIDE=FQ","FILING_STATUS=OR","Sort=A","Dates=H","DateFormat=P","Fill=—","Direction=H","UseDPDF=Y")</f>
        <v>1.85</v>
      </c>
      <c r="AM15" s="14">
        <f>_xll.BDH("XOM US Equity","IS_EARN_BEF_XO_ITEMS_PER_SH","FQ3 2007","FQ3 2007","Currency=USD","Period=FQ","BEST_FPERIOD_OVERRIDE=FQ","FILING_STATUS=OR","Sort=A","Dates=H","DateFormat=P","Fill=—","Direction=H","UseDPDF=Y")</f>
        <v>1.72</v>
      </c>
      <c r="AN15" s="14">
        <f>_xll.BDH("XOM US Equity","IS_EARN_BEF_XO_ITEMS_PER_SH","FQ4 2007","FQ4 2007","Currency=USD","Period=FQ","BEST_FPERIOD_OVERRIDE=FQ","FILING_STATUS=OR","Sort=A","Dates=H","DateFormat=P","Fill=—","Direction=H","UseDPDF=Y")</f>
        <v>2.15</v>
      </c>
      <c r="AO15" s="14">
        <f>_xll.BDH("XOM US Equity","IS_EARN_BEF_XO_ITEMS_PER_SH","FQ1 2008","FQ1 2008","Currency=USD","Period=FQ","BEST_FPERIOD_OVERRIDE=FQ","FILING_STATUS=OR","Sort=A","Dates=H","DateFormat=P","Fill=—","Direction=H","UseDPDF=Y")</f>
        <v>2.0499999999999998</v>
      </c>
      <c r="AP15" s="14">
        <f>_xll.BDH("XOM US Equity","IS_EARN_BEF_XO_ITEMS_PER_SH","FQ2 2008","FQ2 2008","Currency=USD","Period=FQ","BEST_FPERIOD_OVERRIDE=FQ","FILING_STATUS=OR","Sort=A","Dates=H","DateFormat=P","Fill=—","Direction=H","UseDPDF=Y")</f>
        <v>2.25</v>
      </c>
    </row>
    <row r="16" spans="1:42" x14ac:dyDescent="0.25">
      <c r="A16" s="10" t="s">
        <v>363</v>
      </c>
      <c r="B16" s="10" t="s">
        <v>140</v>
      </c>
      <c r="C16" s="14">
        <f>_xll.BDH("XOM US Equity","IS_BASIC_EPS_CONT_OPS","FQ3 1998","FQ3 1998","Currency=USD","Period=FQ","BEST_FPERIOD_OVERRIDE=FQ","FILING_STATUS=OR","Sort=A","Dates=H","DateFormat=P","Fill=—","Direction=H","UseDPDF=Y")</f>
        <v>0.28999999999999998</v>
      </c>
      <c r="D16" s="14">
        <f>_xll.BDH("XOM US Equity","IS_BASIC_EPS_CONT_OPS","FQ4 1998","FQ4 1998","Currency=USD","Period=FQ","BEST_FPERIOD_OVERRIDE=FQ","FILING_STATUS=OR","Sort=A","Dates=H","DateFormat=P","Fill=—","Direction=H","UseDPDF=Y")</f>
        <v>0.315</v>
      </c>
      <c r="E16" s="14">
        <f>_xll.BDH("XOM US Equity","IS_BASIC_EPS_CONT_OPS","FQ1 1999","FQ1 1999","Currency=USD","Period=FQ","BEST_FPERIOD_OVERRIDE=FQ","FILING_STATUS=OR","Sort=A","Dates=H","DateFormat=P","Fill=—","Direction=H","UseDPDF=Y")</f>
        <v>0.21</v>
      </c>
      <c r="F16" s="14">
        <f>_xll.BDH("XOM US Equity","IS_BASIC_EPS_CONT_OPS","FQ2 1999","FQ2 1999","Currency=USD","Period=FQ","BEST_FPERIOD_OVERRIDE=FQ","FILING_STATUS=OR","Sort=A","Dates=H","DateFormat=P","Fill=—","Direction=H","UseDPDF=Y")</f>
        <v>0.25</v>
      </c>
      <c r="G16" s="14">
        <f>_xll.BDH("XOM US Equity","IS_BASIC_EPS_CONT_OPS","FQ3 1999","FQ3 1999","Currency=USD","Period=FQ","BEST_FPERIOD_OVERRIDE=FQ","FILING_STATUS=OR","Sort=A","Dates=H","DateFormat=P","Fill=—","Direction=H","UseDPDF=Y")</f>
        <v>0.31</v>
      </c>
      <c r="H16" s="14">
        <f>_xll.BDH("XOM US Equity","IS_BASIC_EPS_CONT_OPS","FQ4 1999","FQ4 1999","Currency=USD","Period=FQ","BEST_FPERIOD_OVERRIDE=FQ","FILING_STATUS=OR","Sort=A","Dates=H","DateFormat=P","Fill=—","Direction=H","UseDPDF=Y")</f>
        <v>0.64500000000000002</v>
      </c>
      <c r="I16" s="14">
        <f>_xll.BDH("XOM US Equity","IS_BASIC_EPS_CONT_OPS","FQ1 2000","FQ1 2000","Currency=USD","Period=FQ","BEST_FPERIOD_OVERRIDE=FQ","FILING_STATUS=OR","Sort=A","Dates=H","DateFormat=P","Fill=—","Direction=H","UseDPDF=Y")</f>
        <v>0.48</v>
      </c>
      <c r="J16" s="14">
        <f>_xll.BDH("XOM US Equity","IS_BASIC_EPS_CONT_OPS","FQ2 2000","FQ2 2000","Currency=USD","Period=FQ","BEST_FPERIOD_OVERRIDE=FQ","FILING_STATUS=OR","Sort=A","Dates=H","DateFormat=P","Fill=—","Direction=H","UseDPDF=Y")</f>
        <v>0.60499999999999998</v>
      </c>
      <c r="K16" s="14">
        <f>_xll.BDH("XOM US Equity","IS_BASIC_EPS_CONT_OPS","FQ3 2000","FQ3 2000","Currency=USD","Period=FQ","BEST_FPERIOD_OVERRIDE=FQ","FILING_STATUS=OR","Sort=A","Dates=H","DateFormat=P","Fill=—","Direction=H","UseDPDF=Y")</f>
        <v>0.6</v>
      </c>
      <c r="L16" s="14">
        <f>_xll.BDH("XOM US Equity","IS_BASIC_EPS_CONT_OPS","FQ4 2000","FQ4 2000","Currency=USD","Period=FQ","BEST_FPERIOD_OVERRIDE=FQ","FILING_STATUS=OR","Sort=A","Dates=H","DateFormat=P","Fill=—","Direction=H","UseDPDF=Y")</f>
        <v>0.745</v>
      </c>
      <c r="M16" s="14">
        <f>_xll.BDH("XOM US Equity","IS_BASIC_EPS_CONT_OPS","FQ1 2001","FQ1 2001","Currency=USD","Period=FQ","BEST_FPERIOD_OVERRIDE=FQ","FILING_STATUS=OR","Sort=A","Dates=H","DateFormat=P","Fill=—","Direction=H","UseDPDF=Y")</f>
        <v>0.72</v>
      </c>
      <c r="N16" s="14">
        <f>_xll.BDH("XOM US Equity","IS_BASIC_EPS_CONT_OPS","FQ2 2001","FQ2 2001","Currency=USD","Period=FQ","BEST_FPERIOD_OVERRIDE=FQ","FILING_STATUS=OR","Sort=A","Dates=H","DateFormat=P","Fill=—","Direction=H","UseDPDF=Y")</f>
        <v>0.64</v>
      </c>
      <c r="O16" s="14">
        <f>_xll.BDH("XOM US Equity","IS_BASIC_EPS_CONT_OPS","FQ3 2001","FQ3 2001","Currency=USD","Period=FQ","BEST_FPERIOD_OVERRIDE=FQ","FILING_STATUS=OR","Sort=A","Dates=H","DateFormat=P","Fill=—","Direction=H","UseDPDF=Y")</f>
        <v>0.46</v>
      </c>
      <c r="P16" s="14">
        <f>_xll.BDH("XOM US Equity","IS_BASIC_EPS_CONT_OPS","FQ4 2001","FQ4 2001","Currency=USD","Period=FQ","BEST_FPERIOD_OVERRIDE=FQ","FILING_STATUS=OR","Sort=A","Dates=H","DateFormat=P","Fill=—","Direction=H","UseDPDF=Y")</f>
        <v>0.44</v>
      </c>
      <c r="Q16" s="14">
        <f>_xll.BDH("XOM US Equity","IS_BASIC_EPS_CONT_OPS","FQ1 2002","FQ1 2002","Currency=USD","Period=FQ","BEST_FPERIOD_OVERRIDE=FQ","FILING_STATUS=OR","Sort=A","Dates=H","DateFormat=P","Fill=—","Direction=H","UseDPDF=Y")</f>
        <v>0.31</v>
      </c>
      <c r="R16" s="14">
        <f>_xll.BDH("XOM US Equity","IS_BASIC_EPS_CONT_OPS","FQ2 2002","FQ2 2002","Currency=USD","Period=FQ","BEST_FPERIOD_OVERRIDE=FQ","FILING_STATUS=OR","Sort=A","Dates=H","DateFormat=P","Fill=—","Direction=H","UseDPDF=Y")</f>
        <v>0.4</v>
      </c>
      <c r="S16" s="14">
        <f>_xll.BDH("XOM US Equity","IS_BASIC_EPS_CONT_OPS","FQ3 2002","FQ3 2002","Currency=USD","Period=FQ","BEST_FPERIOD_OVERRIDE=FQ","FILING_STATUS=OR","Sort=A","Dates=H","DateFormat=P","Fill=—","Direction=H","UseDPDF=Y")</f>
        <v>0.44</v>
      </c>
      <c r="T16" s="14">
        <f>_xll.BDH("XOM US Equity","IS_BASIC_EPS_CONT_OPS","FQ4 2002","FQ4 2002","Currency=USD","Period=FQ","BEST_FPERIOD_OVERRIDE=FQ","FILING_STATUS=OR","Sort=A","Dates=H","DateFormat=P","Fill=—","Direction=H","UseDPDF=Y")</f>
        <v>0.56000000000000005</v>
      </c>
      <c r="U16" s="14">
        <f>_xll.BDH("XOM US Equity","IS_BASIC_EPS_CONT_OPS","FQ1 2003","FQ1 2003","Currency=USD","Period=FQ","BEST_FPERIOD_OVERRIDE=FQ","FILING_STATUS=OR","Sort=A","Dates=H","DateFormat=P","Fill=—","Direction=H","UseDPDF=Y")</f>
        <v>0.71699999999999997</v>
      </c>
      <c r="V16" s="14">
        <f>_xll.BDH("XOM US Equity","IS_BASIC_EPS_CONT_OPS","FQ2 2003","FQ2 2003","Currency=USD","Period=FQ","BEST_FPERIOD_OVERRIDE=FQ","FILING_STATUS=OR","Sort=A","Dates=H","DateFormat=P","Fill=—","Direction=H","UseDPDF=Y")</f>
        <v>0.63</v>
      </c>
      <c r="W16" s="14">
        <f>_xll.BDH("XOM US Equity","IS_BASIC_EPS_CONT_OPS","FQ3 2003","FQ3 2003","Currency=USD","Period=FQ","BEST_FPERIOD_OVERRIDE=FQ","FILING_STATUS=OR","Sort=A","Dates=H","DateFormat=P","Fill=—","Direction=H","UseDPDF=Y")</f>
        <v>0.55000000000000004</v>
      </c>
      <c r="X16" s="14">
        <f>_xll.BDH("XOM US Equity","IS_BASIC_EPS_CONT_OPS","FQ4 2003","FQ4 2003","Currency=USD","Period=FQ","BEST_FPERIOD_OVERRIDE=FQ","FILING_STATUS=OR","Sort=A","Dates=H","DateFormat=P","Fill=—","Direction=H","UseDPDF=Y")</f>
        <v>0.67200000000000004</v>
      </c>
      <c r="Y16" s="14">
        <f>_xll.BDH("XOM US Equity","IS_BASIC_EPS_CONT_OPS","FQ1 2004","FQ1 2004","Currency=USD","Period=FQ","BEST_FPERIOD_OVERRIDE=FQ","FILING_STATUS=OR","Sort=A","Dates=H","DateFormat=P","Fill=—","Direction=H","UseDPDF=Y")</f>
        <v>0.83</v>
      </c>
      <c r="Z16" s="14">
        <f>_xll.BDH("XOM US Equity","IS_BASIC_EPS_CONT_OPS","FQ2 2004","FQ2 2004","Currency=USD","Period=FQ","BEST_FPERIOD_OVERRIDE=FQ","FILING_STATUS=OR","Sort=A","Dates=H","DateFormat=P","Fill=—","Direction=H","UseDPDF=Y")</f>
        <v>0.89</v>
      </c>
      <c r="AA16" s="14">
        <f>_xll.BDH("XOM US Equity","IS_BASIC_EPS_CONT_OPS","FQ3 2004","FQ3 2004","Currency=USD","Period=FQ","BEST_FPERIOD_OVERRIDE=FQ","FILING_STATUS=OR","Sort=A","Dates=H","DateFormat=P","Fill=—","Direction=H","UseDPDF=Y")</f>
        <v>0.96</v>
      </c>
      <c r="AB16" s="14">
        <f>_xll.BDH("XOM US Equity","IS_BASIC_EPS_CONT_OPS","FQ4 2004","FQ4 2004","Currency=USD","Period=FQ","BEST_FPERIOD_OVERRIDE=FQ","FILING_STATUS=OR","Sort=A","Dates=H","DateFormat=P","Fill=—","Direction=H","UseDPDF=Y")</f>
        <v>1.31</v>
      </c>
      <c r="AC16" s="14">
        <f>_xll.BDH("XOM US Equity","IS_BASIC_EPS_CONT_OPS","FQ1 2005","FQ1 2005","Currency=USD","Period=FQ","BEST_FPERIOD_OVERRIDE=FQ","FILING_STATUS=OR","Sort=A","Dates=H","DateFormat=P","Fill=—","Direction=H","UseDPDF=Y")</f>
        <v>1.1599999999999999</v>
      </c>
      <c r="AD16" s="14">
        <f>_xll.BDH("XOM US Equity","IS_BASIC_EPS_CONT_OPS","FQ2 2005","FQ2 2005","Currency=USD","Period=FQ","BEST_FPERIOD_OVERRIDE=FQ","FILING_STATUS=OR","Sort=A","Dates=H","DateFormat=P","Fill=—","Direction=H","UseDPDF=Y")</f>
        <v>1.24</v>
      </c>
      <c r="AE16" s="14">
        <f>_xll.BDH("XOM US Equity","IS_BASIC_EPS_CONT_OPS","FQ3 2005","FQ3 2005","Currency=USD","Period=FQ","BEST_FPERIOD_OVERRIDE=FQ","FILING_STATUS=OR","Sort=A","Dates=H","DateFormat=P","Fill=—","Direction=H","UseDPDF=Y")</f>
        <v>1.34</v>
      </c>
      <c r="AF16" s="14">
        <f>_xll.BDH("XOM US Equity","IS_BASIC_EPS_CONT_OPS","FQ4 2005","FQ4 2005","Currency=USD","Period=FQ","BEST_FPERIOD_OVERRIDE=FQ","FILING_STATUS=OR","Sort=A","Dates=H","DateFormat=P","Fill=—","Direction=H","UseDPDF=Y")</f>
        <v>1.6600000000000001</v>
      </c>
      <c r="AG16" s="14">
        <f>_xll.BDH("XOM US Equity","IS_BASIC_EPS_CONT_OPS","FQ1 2006","FQ1 2006","Currency=USD","Period=FQ","BEST_FPERIOD_OVERRIDE=FQ","FILING_STATUS=OR","Sort=A","Dates=H","DateFormat=P","Fill=—","Direction=H","UseDPDF=Y")</f>
        <v>1.38</v>
      </c>
      <c r="AH16" s="14">
        <f>_xll.BDH("XOM US Equity","IS_BASIC_EPS_CONT_OPS","FQ2 2006","FQ2 2006","Currency=USD","Period=FQ","BEST_FPERIOD_OVERRIDE=FQ","FILING_STATUS=OR","Sort=A","Dates=H","DateFormat=P","Fill=—","Direction=H","UseDPDF=Y")</f>
        <v>1.74</v>
      </c>
      <c r="AI16" s="14">
        <f>_xll.BDH("XOM US Equity","IS_BASIC_EPS_CONT_OPS","FQ3 2006","FQ3 2006","Currency=USD","Period=FQ","BEST_FPERIOD_OVERRIDE=FQ","FILING_STATUS=OR","Sort=A","Dates=H","DateFormat=P","Fill=—","Direction=H","UseDPDF=Y")</f>
        <v>1.79</v>
      </c>
      <c r="AJ16" s="14">
        <f>_xll.BDH("XOM US Equity","IS_BASIC_EPS_CONT_OPS","FQ4 2006","FQ4 2006","Currency=USD","Period=FQ","BEST_FPERIOD_OVERRIDE=FQ","FILING_STATUS=OR","Sort=A","Dates=H","DateFormat=P","Fill=—","Direction=H","UseDPDF=Y")</f>
        <v>1.7</v>
      </c>
      <c r="AK16" s="14">
        <f>_xll.BDH("XOM US Equity","IS_BASIC_EPS_CONT_OPS","FQ1 2007","FQ1 2007","Currency=USD","Period=FQ","BEST_FPERIOD_OVERRIDE=FQ","FILING_STATUS=OR","Sort=A","Dates=H","DateFormat=P","Fill=—","Direction=H","UseDPDF=Y")</f>
        <v>1.6400000000000001</v>
      </c>
      <c r="AL16" s="14">
        <f>_xll.BDH("XOM US Equity","IS_BASIC_EPS_CONT_OPS","FQ2 2007","FQ2 2007","Currency=USD","Period=FQ","BEST_FPERIOD_OVERRIDE=FQ","FILING_STATUS=OR","Sort=A","Dates=H","DateFormat=P","Fill=—","Direction=H","UseDPDF=Y")</f>
        <v>1.85</v>
      </c>
      <c r="AM16" s="14">
        <f>_xll.BDH("XOM US Equity","IS_BASIC_EPS_CONT_OPS","FQ3 2007","FQ3 2007","Currency=USD","Period=FQ","BEST_FPERIOD_OVERRIDE=FQ","FILING_STATUS=OR","Sort=A","Dates=H","DateFormat=P","Fill=—","Direction=H","UseDPDF=Y")</f>
        <v>1.72</v>
      </c>
      <c r="AN16" s="14">
        <f>_xll.BDH("XOM US Equity","IS_BASIC_EPS_CONT_OPS","FQ4 2007","FQ4 2007","Currency=USD","Period=FQ","BEST_FPERIOD_OVERRIDE=FQ","FILING_STATUS=OR","Sort=A","Dates=H","DateFormat=P","Fill=—","Direction=H","UseDPDF=Y")</f>
        <v>2.15</v>
      </c>
      <c r="AO16" s="14">
        <f>_xll.BDH("XOM US Equity","IS_BASIC_EPS_CONT_OPS","FQ1 2008","FQ1 2008","Currency=USD","Period=FQ","BEST_FPERIOD_OVERRIDE=FQ","FILING_STATUS=OR","Sort=A","Dates=H","DateFormat=P","Fill=—","Direction=H","UseDPDF=Y")</f>
        <v>2.0499999999999998</v>
      </c>
      <c r="AP16" s="14">
        <f>_xll.BDH("XOM US Equity","IS_BASIC_EPS_CONT_OPS","FQ2 2008","FQ2 2008","Currency=USD","Period=FQ","BEST_FPERIOD_OVERRIDE=FQ","FILING_STATUS=OR","Sort=A","Dates=H","DateFormat=P","Fill=—","Direction=H","UseDPDF=Y")</f>
        <v>2.31</v>
      </c>
    </row>
    <row r="17" spans="1:42" x14ac:dyDescent="0.25">
      <c r="A17" s="10" t="s">
        <v>364</v>
      </c>
      <c r="B17" s="10" t="s">
        <v>144</v>
      </c>
      <c r="C17" s="14">
        <f>_xll.BDH("XOM US Equity","IS_DILUTED_EPS","FQ3 1998","FQ3 1998","Currency=USD","Period=FQ","BEST_FPERIOD_OVERRIDE=FQ","FILING_STATUS=OR","FA_ADJUSTED=GAAP","Sort=A","Dates=H","DateFormat=P","Fill=—","Direction=H","UseDPDF=Y")</f>
        <v>0.28999999999999998</v>
      </c>
      <c r="D17" s="14">
        <f>_xll.BDH("XOM US Equity","IS_DILUTED_EPS","FQ4 1998","FQ4 1998","Currency=USD","Period=FQ","BEST_FPERIOD_OVERRIDE=FQ","FILING_STATUS=OR","FA_ADJUSTED=GAAP","Sort=A","Dates=H","DateFormat=P","Fill=—","Direction=H","UseDPDF=Y")</f>
        <v>0.31</v>
      </c>
      <c r="E17" s="14">
        <f>_xll.BDH("XOM US Equity","IS_DILUTED_EPS","FQ1 1999","FQ1 1999","Currency=USD","Period=FQ","BEST_FPERIOD_OVERRIDE=FQ","FILING_STATUS=OR","FA_ADJUSTED=GAAP","Sort=A","Dates=H","DateFormat=P","Fill=—","Direction=H","UseDPDF=Y")</f>
        <v>0.21</v>
      </c>
      <c r="F17" s="14">
        <f>_xll.BDH("XOM US Equity","IS_DILUTED_EPS","FQ2 1999","FQ2 1999","Currency=USD","Period=FQ","BEST_FPERIOD_OVERRIDE=FQ","FILING_STATUS=OR","FA_ADJUSTED=GAAP","Sort=A","Dates=H","DateFormat=P","Fill=—","Direction=H","UseDPDF=Y")</f>
        <v>0.245</v>
      </c>
      <c r="G17" s="14">
        <f>_xll.BDH("XOM US Equity","IS_DILUTED_EPS","FQ3 1999","FQ3 1999","Currency=USD","Period=FQ","BEST_FPERIOD_OVERRIDE=FQ","FILING_STATUS=OR","FA_ADJUSTED=GAAP","Sort=A","Dates=H","DateFormat=P","Fill=—","Direction=H","UseDPDF=Y")</f>
        <v>0.30499999999999999</v>
      </c>
      <c r="H17" s="14">
        <f>_xll.BDH("XOM US Equity","IS_DILUTED_EPS","FQ4 1999","FQ4 1999","Currency=USD","Period=FQ","BEST_FPERIOD_OVERRIDE=FQ","FILING_STATUS=OR","FA_ADJUSTED=GAAP","Sort=A","Dates=H","DateFormat=P","Fill=—","Direction=H","UseDPDF=Y")</f>
        <v>0.6</v>
      </c>
      <c r="I17" s="14">
        <f>_xll.BDH("XOM US Equity","IS_DILUTED_EPS","FQ1 2000","FQ1 2000","Currency=USD","Period=FQ","BEST_FPERIOD_OVERRIDE=FQ","FILING_STATUS=OR","FA_ADJUSTED=GAAP","Sort=A","Dates=H","DateFormat=P","Fill=—","Direction=H","UseDPDF=Y")</f>
        <v>0.495</v>
      </c>
      <c r="J17" s="14">
        <f>_xll.BDH("XOM US Equity","IS_DILUTED_EPS","FQ2 2000","FQ2 2000","Currency=USD","Period=FQ","BEST_FPERIOD_OVERRIDE=FQ","FILING_STATUS=OR","FA_ADJUSTED=GAAP","Sort=A","Dates=H","DateFormat=P","Fill=—","Direction=H","UseDPDF=Y")</f>
        <v>0.65</v>
      </c>
      <c r="K17" s="14">
        <f>_xll.BDH("XOM US Equity","IS_DILUTED_EPS","FQ3 2000","FQ3 2000","Currency=USD","Period=FQ","BEST_FPERIOD_OVERRIDE=FQ","FILING_STATUS=OR","FA_ADJUSTED=GAAP","Sort=A","Dates=H","DateFormat=P","Fill=—","Direction=H","UseDPDF=Y")</f>
        <v>0.63</v>
      </c>
      <c r="L17" s="14">
        <f>_xll.BDH("XOM US Equity","IS_DILUTED_EPS","FQ4 2000","FQ4 2000","Currency=USD","Period=FQ","BEST_FPERIOD_OVERRIDE=FQ","FILING_STATUS=OR","FA_ADJUSTED=GAAP","Sort=A","Dates=H","DateFormat=P","Fill=—","Direction=H","UseDPDF=Y")</f>
        <v>0.76</v>
      </c>
      <c r="M17" s="14">
        <f>_xll.BDH("XOM US Equity","IS_DILUTED_EPS","FQ1 2001","FQ1 2001","Currency=USD","Period=FQ","BEST_FPERIOD_OVERRIDE=FQ","FILING_STATUS=OR","FA_ADJUSTED=GAAP","Sort=A","Dates=H","DateFormat=P","Fill=—","Direction=H","UseDPDF=Y")</f>
        <v>0.71</v>
      </c>
      <c r="N17" s="14">
        <f>_xll.BDH("XOM US Equity","IS_DILUTED_EPS","FQ2 2001","FQ2 2001","Currency=USD","Period=FQ","BEST_FPERIOD_OVERRIDE=FQ","FILING_STATUS=OR","FA_ADJUSTED=GAAP","Sort=A","Dates=H","DateFormat=P","Fill=—","Direction=H","UseDPDF=Y")</f>
        <v>0.65</v>
      </c>
      <c r="O17" s="14">
        <f>_xll.BDH("XOM US Equity","IS_DILUTED_EPS","FQ3 2001","FQ3 2001","Currency=USD","Period=FQ","BEST_FPERIOD_OVERRIDE=FQ","FILING_STATUS=OR","FA_ADJUSTED=GAAP","Sort=A","Dates=H","DateFormat=P","Fill=—","Direction=H","UseDPDF=Y")</f>
        <v>0.46</v>
      </c>
      <c r="P17" s="14">
        <f>_xll.BDH("XOM US Equity","IS_DILUTED_EPS","FQ4 2001","FQ4 2001","Currency=USD","Period=FQ","BEST_FPERIOD_OVERRIDE=FQ","FILING_STATUS=OR","FA_ADJUSTED=GAAP","Sort=A","Dates=H","DateFormat=P","Fill=—","Direction=H","UseDPDF=Y")</f>
        <v>0.39</v>
      </c>
      <c r="Q17" s="14">
        <f>_xll.BDH("XOM US Equity","IS_DILUTED_EPS","FQ1 2002","FQ1 2002","Currency=USD","Period=FQ","BEST_FPERIOD_OVERRIDE=FQ","FILING_STATUS=OR","FA_ADJUSTED=GAAP","Sort=A","Dates=H","DateFormat=P","Fill=—","Direction=H","UseDPDF=Y")</f>
        <v>0.3</v>
      </c>
      <c r="R17" s="14">
        <f>_xll.BDH("XOM US Equity","IS_DILUTED_EPS","FQ2 2002","FQ2 2002","Currency=USD","Period=FQ","BEST_FPERIOD_OVERRIDE=FQ","FILING_STATUS=OR","FA_ADJUSTED=GAAP","Sort=A","Dates=H","DateFormat=P","Fill=—","Direction=H","UseDPDF=Y")</f>
        <v>0.39</v>
      </c>
      <c r="S17" s="14">
        <f>_xll.BDH("XOM US Equity","IS_DILUTED_EPS","FQ3 2002","FQ3 2002","Currency=USD","Period=FQ","BEST_FPERIOD_OVERRIDE=FQ","FILING_STATUS=OR","FA_ADJUSTED=GAAP","Sort=A","Dates=H","DateFormat=P","Fill=—","Direction=H","UseDPDF=Y")</f>
        <v>0.39</v>
      </c>
      <c r="T17" s="14">
        <f>_xll.BDH("XOM US Equity","IS_DILUTED_EPS","FQ4 2002","FQ4 2002","Currency=USD","Period=FQ","BEST_FPERIOD_OVERRIDE=FQ","FILING_STATUS=OR","FA_ADJUSTED=GAAP","Sort=A","Dates=H","DateFormat=P","Fill=—","Direction=H","UseDPDF=Y")</f>
        <v>0.6</v>
      </c>
      <c r="U17" s="14">
        <f>_xll.BDH("XOM US Equity","IS_DILUTED_EPS","FQ1 2003","FQ1 2003","Currency=USD","Period=FQ","BEST_FPERIOD_OVERRIDE=FQ","FILING_STATUS=OR","FA_ADJUSTED=GAAP","Sort=A","Dates=H","DateFormat=P","Fill=—","Direction=H","UseDPDF=Y")</f>
        <v>1.05</v>
      </c>
      <c r="V17" s="14">
        <f>_xll.BDH("XOM US Equity","IS_DILUTED_EPS","FQ2 2003","FQ2 2003","Currency=USD","Period=FQ","BEST_FPERIOD_OVERRIDE=FQ","FILING_STATUS=OR","FA_ADJUSTED=GAAP","Sort=A","Dates=H","DateFormat=P","Fill=—","Direction=H","UseDPDF=Y")</f>
        <v>0.62</v>
      </c>
      <c r="W17" s="14">
        <f>_xll.BDH("XOM US Equity","IS_DILUTED_EPS","FQ3 2003","FQ3 2003","Currency=USD","Period=FQ","BEST_FPERIOD_OVERRIDE=FQ","FILING_STATUS=OR","FA_ADJUSTED=GAAP","Sort=A","Dates=H","DateFormat=P","Fill=—","Direction=H","UseDPDF=Y")</f>
        <v>0.55000000000000004</v>
      </c>
      <c r="X17" s="14">
        <f>_xll.BDH("XOM US Equity","IS_DILUTED_EPS","FQ4 2003","FQ4 2003","Currency=USD","Period=FQ","BEST_FPERIOD_OVERRIDE=FQ","FILING_STATUS=OR","FA_ADJUSTED=GAAP","Sort=A","Dates=H","DateFormat=P","Fill=—","Direction=H","UseDPDF=Y")</f>
        <v>1.01</v>
      </c>
      <c r="Y17" s="14">
        <f>_xll.BDH("XOM US Equity","IS_DILUTED_EPS","FQ1 2004","FQ1 2004","Currency=USD","Period=FQ","BEST_FPERIOD_OVERRIDE=FQ","FILING_STATUS=OR","FA_ADJUSTED=GAAP","Sort=A","Dates=H","DateFormat=P","Fill=—","Direction=H","UseDPDF=Y")</f>
        <v>0.83</v>
      </c>
      <c r="Z17" s="14">
        <f>_xll.BDH("XOM US Equity","IS_DILUTED_EPS","FQ2 2004","FQ2 2004","Currency=USD","Period=FQ","BEST_FPERIOD_OVERRIDE=FQ","FILING_STATUS=OR","FA_ADJUSTED=GAAP","Sort=A","Dates=H","DateFormat=P","Fill=—","Direction=H","UseDPDF=Y")</f>
        <v>0.88</v>
      </c>
      <c r="AA17" s="14">
        <f>_xll.BDH("XOM US Equity","IS_DILUTED_EPS","FQ3 2004","FQ3 2004","Currency=USD","Period=FQ","BEST_FPERIOD_OVERRIDE=FQ","FILING_STATUS=OR","FA_ADJUSTED=GAAP","Sort=A","Dates=H","DateFormat=P","Fill=—","Direction=H","UseDPDF=Y")</f>
        <v>0.88</v>
      </c>
      <c r="AB17" s="14">
        <f>_xll.BDH("XOM US Equity","IS_DILUTED_EPS","FQ4 2004","FQ4 2004","Currency=USD","Period=FQ","BEST_FPERIOD_OVERRIDE=FQ","FILING_STATUS=OR","FA_ADJUSTED=GAAP","Sort=A","Dates=H","DateFormat=P","Fill=—","Direction=H","UseDPDF=Y")</f>
        <v>1.3</v>
      </c>
      <c r="AC17" s="14">
        <f>_xll.BDH("XOM US Equity","IS_DILUTED_EPS","FQ1 2005","FQ1 2005","Currency=USD","Period=FQ","BEST_FPERIOD_OVERRIDE=FQ","FILING_STATUS=OR","FA_ADJUSTED=GAAP","Sort=A","Dates=H","DateFormat=P","Fill=—","Direction=H","UseDPDF=Y")</f>
        <v>1.22</v>
      </c>
      <c r="AD17" s="14">
        <f>_xll.BDH("XOM US Equity","IS_DILUTED_EPS","FQ2 2005","FQ2 2005","Currency=USD","Period=FQ","BEST_FPERIOD_OVERRIDE=FQ","FILING_STATUS=OR","FA_ADJUSTED=GAAP","Sort=A","Dates=H","DateFormat=P","Fill=—","Direction=H","UseDPDF=Y")</f>
        <v>1.2</v>
      </c>
      <c r="AE17" s="14">
        <f>_xll.BDH("XOM US Equity","IS_DILUTED_EPS","FQ3 2005","FQ3 2005","Currency=USD","Period=FQ","BEST_FPERIOD_OVERRIDE=FQ","FILING_STATUS=OR","FA_ADJUSTED=GAAP","Sort=A","Dates=H","DateFormat=P","Fill=—","Direction=H","UseDPDF=Y")</f>
        <v>1.58</v>
      </c>
      <c r="AF17" s="14">
        <f>_xll.BDH("XOM US Equity","IS_DILUTED_EPS","FQ4 2005","FQ4 2005","Currency=USD","Period=FQ","BEST_FPERIOD_OVERRIDE=FQ","FILING_STATUS=OR","FA_ADJUSTED=GAAP","Sort=A","Dates=H","DateFormat=P","Fill=—","Direction=H","UseDPDF=Y")</f>
        <v>1.71</v>
      </c>
      <c r="AG17" s="14">
        <f>_xll.BDH("XOM US Equity","IS_DILUTED_EPS","FQ1 2006","FQ1 2006","Currency=USD","Period=FQ","BEST_FPERIOD_OVERRIDE=FQ","FILING_STATUS=OR","FA_ADJUSTED=GAAP","Sort=A","Dates=H","DateFormat=P","Fill=—","Direction=H","UseDPDF=Y")</f>
        <v>1.37</v>
      </c>
      <c r="AH17" s="14">
        <f>_xll.BDH("XOM US Equity","IS_DILUTED_EPS","FQ2 2006","FQ2 2006","Currency=USD","Period=FQ","BEST_FPERIOD_OVERRIDE=FQ","FILING_STATUS=OR","FA_ADJUSTED=GAAP","Sort=A","Dates=H","DateFormat=P","Fill=—","Direction=H","UseDPDF=Y")</f>
        <v>1.72</v>
      </c>
      <c r="AI17" s="14">
        <f>_xll.BDH("XOM US Equity","IS_DILUTED_EPS","FQ3 2006","FQ3 2006","Currency=USD","Period=FQ","BEST_FPERIOD_OVERRIDE=FQ","FILING_STATUS=OR","FA_ADJUSTED=GAAP","Sort=A","Dates=H","DateFormat=P","Fill=—","Direction=H","UseDPDF=Y")</f>
        <v>1.77</v>
      </c>
      <c r="AJ17" s="14">
        <f>_xll.BDH("XOM US Equity","IS_DILUTED_EPS","FQ4 2006","FQ4 2006","Currency=USD","Period=FQ","BEST_FPERIOD_OVERRIDE=FQ","FILING_STATUS=OR","FA_ADJUSTED=GAAP","Sort=A","Dates=H","DateFormat=P","Fill=—","Direction=H","UseDPDF=Y")</f>
        <v>1.76</v>
      </c>
      <c r="AK17" s="14">
        <f>_xll.BDH("XOM US Equity","IS_DILUTED_EPS","FQ1 2007","FQ1 2007","Currency=USD","Period=FQ","BEST_FPERIOD_OVERRIDE=FQ","FILING_STATUS=OR","FA_ADJUSTED=GAAP","Sort=A","Dates=H","DateFormat=P","Fill=—","Direction=H","UseDPDF=Y")</f>
        <v>1.62</v>
      </c>
      <c r="AL17" s="14">
        <f>_xll.BDH("XOM US Equity","IS_DILUTED_EPS","FQ2 2007","FQ2 2007","Currency=USD","Period=FQ","BEST_FPERIOD_OVERRIDE=FQ","FILING_STATUS=OR","FA_ADJUSTED=GAAP","Sort=A","Dates=H","DateFormat=P","Fill=—","Direction=H","UseDPDF=Y")</f>
        <v>1.83</v>
      </c>
      <c r="AM17" s="14">
        <f>_xll.BDH("XOM US Equity","IS_DILUTED_EPS","FQ3 2007","FQ3 2007","Currency=USD","Period=FQ","BEST_FPERIOD_OVERRIDE=FQ","FILING_STATUS=OR","FA_ADJUSTED=GAAP","Sort=A","Dates=H","DateFormat=P","Fill=—","Direction=H","UseDPDF=Y")</f>
        <v>1.7</v>
      </c>
      <c r="AN17" s="14">
        <f>_xll.BDH("XOM US Equity","IS_DILUTED_EPS","FQ4 2007","FQ4 2007","Currency=USD","Period=FQ","BEST_FPERIOD_OVERRIDE=FQ","FILING_STATUS=OR","FA_ADJUSTED=GAAP","Sort=A","Dates=H","DateFormat=P","Fill=—","Direction=H","UseDPDF=Y")</f>
        <v>2.13</v>
      </c>
      <c r="AO17" s="14">
        <f>_xll.BDH("XOM US Equity","IS_DILUTED_EPS","FQ1 2008","FQ1 2008","Currency=USD","Period=FQ","BEST_FPERIOD_OVERRIDE=FQ","FILING_STATUS=OR","FA_ADJUSTED=GAAP","Sort=A","Dates=H","DateFormat=P","Fill=—","Direction=H","UseDPDF=Y")</f>
        <v>2.0299999999999998</v>
      </c>
      <c r="AP17" s="14">
        <f>_xll.BDH("XOM US Equity","IS_DILUTED_EPS","FQ2 2008","FQ2 2008","Currency=USD","Period=FQ","BEST_FPERIOD_OVERRIDE=FQ","FILING_STATUS=OR","FA_ADJUSTED=GAAP","Sort=A","Dates=H","DateFormat=P","Fill=—","Direction=H","UseDPDF=Y")</f>
        <v>2.2200000000000002</v>
      </c>
    </row>
    <row r="18" spans="1:42" x14ac:dyDescent="0.25">
      <c r="A18" s="10" t="s">
        <v>365</v>
      </c>
      <c r="B18" s="10" t="s">
        <v>146</v>
      </c>
      <c r="C18" s="14">
        <f>_xll.BDH("XOM US Equity","IS_DIL_EPS_BEF_XO","FQ3 1998","FQ3 1998","Currency=USD","Period=FQ","BEST_FPERIOD_OVERRIDE=FQ","FILING_STATUS=OR","Sort=A","Dates=H","DateFormat=P","Fill=—","Direction=H","UseDPDF=Y")</f>
        <v>0.28999999999999998</v>
      </c>
      <c r="D18" s="14">
        <f>_xll.BDH("XOM US Equity","IS_DIL_EPS_BEF_XO","FQ4 1998","FQ4 1998","Currency=USD","Period=FQ","BEST_FPERIOD_OVERRIDE=FQ","FILING_STATUS=OR","Sort=A","Dates=H","DateFormat=P","Fill=—","Direction=H","UseDPDF=Y")</f>
        <v>0.31</v>
      </c>
      <c r="E18" s="14">
        <f>_xll.BDH("XOM US Equity","IS_DIL_EPS_BEF_XO","FQ1 1999","FQ1 1999","Currency=USD","Period=FQ","BEST_FPERIOD_OVERRIDE=FQ","FILING_STATUS=OR","Sort=A","Dates=H","DateFormat=P","Fill=—","Direction=H","UseDPDF=Y")</f>
        <v>0.21</v>
      </c>
      <c r="F18" s="14">
        <f>_xll.BDH("XOM US Equity","IS_DIL_EPS_BEF_XO","FQ2 1999","FQ2 1999","Currency=USD","Period=FQ","BEST_FPERIOD_OVERRIDE=FQ","FILING_STATUS=OR","Sort=A","Dates=H","DateFormat=P","Fill=—","Direction=H","UseDPDF=Y")</f>
        <v>0.245</v>
      </c>
      <c r="G18" s="14">
        <f>_xll.BDH("XOM US Equity","IS_DIL_EPS_BEF_XO","FQ3 1999","FQ3 1999","Currency=USD","Period=FQ","BEST_FPERIOD_OVERRIDE=FQ","FILING_STATUS=OR","Sort=A","Dates=H","DateFormat=P","Fill=—","Direction=H","UseDPDF=Y")</f>
        <v>0.30499999999999999</v>
      </c>
      <c r="H18" s="14">
        <f>_xll.BDH("XOM US Equity","IS_DIL_EPS_BEF_XO","FQ4 1999","FQ4 1999","Currency=USD","Period=FQ","BEST_FPERIOD_OVERRIDE=FQ","FILING_STATUS=OR","Sort=A","Dates=H","DateFormat=P","Fill=—","Direction=H","UseDPDF=Y")</f>
        <v>0.6</v>
      </c>
      <c r="I18" s="14">
        <f>_xll.BDH("XOM US Equity","IS_DIL_EPS_BEF_XO","FQ1 2000","FQ1 2000","Currency=USD","Period=FQ","BEST_FPERIOD_OVERRIDE=FQ","FILING_STATUS=OR","Sort=A","Dates=H","DateFormat=P","Fill=—","Direction=H","UseDPDF=Y")</f>
        <v>0.43</v>
      </c>
      <c r="J18" s="14">
        <f>_xll.BDH("XOM US Equity","IS_DIL_EPS_BEF_XO","FQ2 2000","FQ2 2000","Currency=USD","Period=FQ","BEST_FPERIOD_OVERRIDE=FQ","FILING_STATUS=OR","Sort=A","Dates=H","DateFormat=P","Fill=—","Direction=H","UseDPDF=Y")</f>
        <v>0.56999999999999995</v>
      </c>
      <c r="K18" s="14">
        <f>_xll.BDH("XOM US Equity","IS_DIL_EPS_BEF_XO","FQ3 2000","FQ3 2000","Currency=USD","Period=FQ","BEST_FPERIOD_OVERRIDE=FQ","FILING_STATUS=OR","Sort=A","Dates=H","DateFormat=P","Fill=—","Direction=H","UseDPDF=Y")</f>
        <v>0.56999999999999995</v>
      </c>
      <c r="L18" s="14">
        <f>_xll.BDH("XOM US Equity","IS_DIL_EPS_BEF_XO","FQ4 2000","FQ4 2000","Currency=USD","Period=FQ","BEST_FPERIOD_OVERRIDE=FQ","FILING_STATUS=OR","Sort=A","Dates=H","DateFormat=P","Fill=—","Direction=H","UseDPDF=Y")</f>
        <v>0.76</v>
      </c>
      <c r="M18" s="14">
        <f>_xll.BDH("XOM US Equity","IS_DIL_EPS_BEF_XO","FQ1 2001","FQ1 2001","Currency=USD","Period=FQ","BEST_FPERIOD_OVERRIDE=FQ","FILING_STATUS=OR","Sort=A","Dates=H","DateFormat=P","Fill=—","Direction=H","UseDPDF=Y")</f>
        <v>0.7</v>
      </c>
      <c r="N18" s="14">
        <f>_xll.BDH("XOM US Equity","IS_DIL_EPS_BEF_XO","FQ2 2001","FQ2 2001","Currency=USD","Period=FQ","BEST_FPERIOD_OVERRIDE=FQ","FILING_STATUS=OR","Sort=A","Dates=H","DateFormat=P","Fill=—","Direction=H","UseDPDF=Y")</f>
        <v>0.63</v>
      </c>
      <c r="O18" s="14">
        <f>_xll.BDH("XOM US Equity","IS_DIL_EPS_BEF_XO","FQ3 2001","FQ3 2001","Currency=USD","Period=FQ","BEST_FPERIOD_OVERRIDE=FQ","FILING_STATUS=OR","Sort=A","Dates=H","DateFormat=P","Fill=—","Direction=H","UseDPDF=Y")</f>
        <v>0.46</v>
      </c>
      <c r="P18" s="14">
        <f>_xll.BDH("XOM US Equity","IS_DIL_EPS_BEF_XO","FQ4 2001","FQ4 2001","Currency=USD","Period=FQ","BEST_FPERIOD_OVERRIDE=FQ","FILING_STATUS=OR","Sort=A","Dates=H","DateFormat=P","Fill=—","Direction=H","UseDPDF=Y")</f>
        <v>0.39</v>
      </c>
      <c r="Q18" s="14">
        <f>_xll.BDH("XOM US Equity","IS_DIL_EPS_BEF_XO","FQ1 2002","FQ1 2002","Currency=USD","Period=FQ","BEST_FPERIOD_OVERRIDE=FQ","FILING_STATUS=OR","Sort=A","Dates=H","DateFormat=P","Fill=—","Direction=H","UseDPDF=Y")</f>
        <v>0.3</v>
      </c>
      <c r="R18" s="14">
        <f>_xll.BDH("XOM US Equity","IS_DIL_EPS_BEF_XO","FQ2 2002","FQ2 2002","Currency=USD","Period=FQ","BEST_FPERIOD_OVERRIDE=FQ","FILING_STATUS=OR","Sort=A","Dates=H","DateFormat=P","Fill=—","Direction=H","UseDPDF=Y")</f>
        <v>0.39</v>
      </c>
      <c r="S18" s="14">
        <f>_xll.BDH("XOM US Equity","IS_DIL_EPS_BEF_XO","FQ3 2002","FQ3 2002","Currency=USD","Period=FQ","BEST_FPERIOD_OVERRIDE=FQ","FILING_STATUS=OR","Sort=A","Dates=H","DateFormat=P","Fill=—","Direction=H","UseDPDF=Y")</f>
        <v>0.39</v>
      </c>
      <c r="T18" s="14">
        <f>_xll.BDH("XOM US Equity","IS_DIL_EPS_BEF_XO","FQ4 2002","FQ4 2002","Currency=USD","Period=FQ","BEST_FPERIOD_OVERRIDE=FQ","FILING_STATUS=OR","Sort=A","Dates=H","DateFormat=P","Fill=—","Direction=H","UseDPDF=Y")</f>
        <v>0.54</v>
      </c>
      <c r="U18" s="14">
        <f>_xll.BDH("XOM US Equity","IS_DIL_EPS_BEF_XO","FQ1 2003","FQ1 2003","Currency=USD","Period=FQ","BEST_FPERIOD_OVERRIDE=FQ","FILING_STATUS=OR","Sort=A","Dates=H","DateFormat=P","Fill=—","Direction=H","UseDPDF=Y")</f>
        <v>0.97</v>
      </c>
      <c r="V18" s="14">
        <f>_xll.BDH("XOM US Equity","IS_DIL_EPS_BEF_XO","FQ2 2003","FQ2 2003","Currency=USD","Period=FQ","BEST_FPERIOD_OVERRIDE=FQ","FILING_STATUS=OR","Sort=A","Dates=H","DateFormat=P","Fill=—","Direction=H","UseDPDF=Y")</f>
        <v>0.62</v>
      </c>
      <c r="W18" s="14">
        <f>_xll.BDH("XOM US Equity","IS_DIL_EPS_BEF_XO","FQ3 2003","FQ3 2003","Currency=USD","Period=FQ","BEST_FPERIOD_OVERRIDE=FQ","FILING_STATUS=OR","Sort=A","Dates=H","DateFormat=P","Fill=—","Direction=H","UseDPDF=Y")</f>
        <v>0.55000000000000004</v>
      </c>
      <c r="X18" s="14">
        <f>_xll.BDH("XOM US Equity","IS_DIL_EPS_BEF_XO","FQ4 2003","FQ4 2003","Currency=USD","Period=FQ","BEST_FPERIOD_OVERRIDE=FQ","FILING_STATUS=OR","Sort=A","Dates=H","DateFormat=P","Fill=—","Direction=H","UseDPDF=Y")</f>
        <v>1.01</v>
      </c>
      <c r="Y18" s="14">
        <f>_xll.BDH("XOM US Equity","IS_DIL_EPS_BEF_XO","FQ1 2004","FQ1 2004","Currency=USD","Period=FQ","BEST_FPERIOD_OVERRIDE=FQ","FILING_STATUS=OR","Sort=A","Dates=H","DateFormat=P","Fill=—","Direction=H","UseDPDF=Y")</f>
        <v>0.83</v>
      </c>
      <c r="Z18" s="14">
        <f>_xll.BDH("XOM US Equity","IS_DIL_EPS_BEF_XO","FQ2 2004","FQ2 2004","Currency=USD","Period=FQ","BEST_FPERIOD_OVERRIDE=FQ","FILING_STATUS=OR","Sort=A","Dates=H","DateFormat=P","Fill=—","Direction=H","UseDPDF=Y")</f>
        <v>0.88</v>
      </c>
      <c r="AA18" s="14">
        <f>_xll.BDH("XOM US Equity","IS_DIL_EPS_BEF_XO","FQ3 2004","FQ3 2004","Currency=USD","Period=FQ","BEST_FPERIOD_OVERRIDE=FQ","FILING_STATUS=OR","Sort=A","Dates=H","DateFormat=P","Fill=—","Direction=H","UseDPDF=Y")</f>
        <v>0.88</v>
      </c>
      <c r="AB18" s="14">
        <f>_xll.BDH("XOM US Equity","IS_DIL_EPS_BEF_XO","FQ4 2004","FQ4 2004","Currency=USD","Period=FQ","BEST_FPERIOD_OVERRIDE=FQ","FILING_STATUS=OR","Sort=A","Dates=H","DateFormat=P","Fill=—","Direction=H","UseDPDF=Y")</f>
        <v>1.3</v>
      </c>
      <c r="AC18" s="14">
        <f>_xll.BDH("XOM US Equity","IS_DIL_EPS_BEF_XO","FQ1 2005","FQ1 2005","Currency=USD","Period=FQ","BEST_FPERIOD_OVERRIDE=FQ","FILING_STATUS=OR","Sort=A","Dates=H","DateFormat=P","Fill=—","Direction=H","UseDPDF=Y")</f>
        <v>1.22</v>
      </c>
      <c r="AD18" s="14">
        <f>_xll.BDH("XOM US Equity","IS_DIL_EPS_BEF_XO","FQ2 2005","FQ2 2005","Currency=USD","Period=FQ","BEST_FPERIOD_OVERRIDE=FQ","FILING_STATUS=OR","Sort=A","Dates=H","DateFormat=P","Fill=—","Direction=H","UseDPDF=Y")</f>
        <v>1.2</v>
      </c>
      <c r="AE18" s="14">
        <f>_xll.BDH("XOM US Equity","IS_DIL_EPS_BEF_XO","FQ3 2005","FQ3 2005","Currency=USD","Period=FQ","BEST_FPERIOD_OVERRIDE=FQ","FILING_STATUS=OR","Sort=A","Dates=H","DateFormat=P","Fill=—","Direction=H","UseDPDF=Y")</f>
        <v>1.58</v>
      </c>
      <c r="AF18" s="14">
        <f>_xll.BDH("XOM US Equity","IS_DIL_EPS_BEF_XO","FQ4 2005","FQ4 2005","Currency=USD","Period=FQ","BEST_FPERIOD_OVERRIDE=FQ","FILING_STATUS=OR","Sort=A","Dates=H","DateFormat=P","Fill=—","Direction=H","UseDPDF=Y")</f>
        <v>1.71</v>
      </c>
      <c r="AG18" s="14">
        <f>_xll.BDH("XOM US Equity","IS_DIL_EPS_BEF_XO","FQ1 2006","FQ1 2006","Currency=USD","Period=FQ","BEST_FPERIOD_OVERRIDE=FQ","FILING_STATUS=OR","Sort=A","Dates=H","DateFormat=P","Fill=—","Direction=H","UseDPDF=Y")</f>
        <v>1.37</v>
      </c>
      <c r="AH18" s="14">
        <f>_xll.BDH("XOM US Equity","IS_DIL_EPS_BEF_XO","FQ2 2006","FQ2 2006","Currency=USD","Period=FQ","BEST_FPERIOD_OVERRIDE=FQ","FILING_STATUS=OR","Sort=A","Dates=H","DateFormat=P","Fill=—","Direction=H","UseDPDF=Y")</f>
        <v>1.72</v>
      </c>
      <c r="AI18" s="14">
        <f>_xll.BDH("XOM US Equity","IS_DIL_EPS_BEF_XO","FQ3 2006","FQ3 2006","Currency=USD","Period=FQ","BEST_FPERIOD_OVERRIDE=FQ","FILING_STATUS=OR","Sort=A","Dates=H","DateFormat=P","Fill=—","Direction=H","UseDPDF=Y")</f>
        <v>1.77</v>
      </c>
      <c r="AJ18" s="14">
        <f>_xll.BDH("XOM US Equity","IS_DIL_EPS_BEF_XO","FQ4 2006","FQ4 2006","Currency=USD","Period=FQ","BEST_FPERIOD_OVERRIDE=FQ","FILING_STATUS=OR","Sort=A","Dates=H","DateFormat=P","Fill=—","Direction=H","UseDPDF=Y")</f>
        <v>1.76</v>
      </c>
      <c r="AK18" s="14">
        <f>_xll.BDH("XOM US Equity","IS_DIL_EPS_BEF_XO","FQ1 2007","FQ1 2007","Currency=USD","Period=FQ","BEST_FPERIOD_OVERRIDE=FQ","FILING_STATUS=OR","Sort=A","Dates=H","DateFormat=P","Fill=—","Direction=H","UseDPDF=Y")</f>
        <v>1.62</v>
      </c>
      <c r="AL18" s="14">
        <f>_xll.BDH("XOM US Equity","IS_DIL_EPS_BEF_XO","FQ2 2007","FQ2 2007","Currency=USD","Period=FQ","BEST_FPERIOD_OVERRIDE=FQ","FILING_STATUS=OR","Sort=A","Dates=H","DateFormat=P","Fill=—","Direction=H","UseDPDF=Y")</f>
        <v>1.83</v>
      </c>
      <c r="AM18" s="14">
        <f>_xll.BDH("XOM US Equity","IS_DIL_EPS_BEF_XO","FQ3 2007","FQ3 2007","Currency=USD","Period=FQ","BEST_FPERIOD_OVERRIDE=FQ","FILING_STATUS=OR","Sort=A","Dates=H","DateFormat=P","Fill=—","Direction=H","UseDPDF=Y")</f>
        <v>1.7</v>
      </c>
      <c r="AN18" s="14">
        <f>_xll.BDH("XOM US Equity","IS_DIL_EPS_BEF_XO","FQ4 2007","FQ4 2007","Currency=USD","Period=FQ","BEST_FPERIOD_OVERRIDE=FQ","FILING_STATUS=OR","Sort=A","Dates=H","DateFormat=P","Fill=—","Direction=H","UseDPDF=Y")</f>
        <v>2.13</v>
      </c>
      <c r="AO18" s="14">
        <f>_xll.BDH("XOM US Equity","IS_DIL_EPS_BEF_XO","FQ1 2008","FQ1 2008","Currency=USD","Period=FQ","BEST_FPERIOD_OVERRIDE=FQ","FILING_STATUS=OR","Sort=A","Dates=H","DateFormat=P","Fill=—","Direction=H","UseDPDF=Y")</f>
        <v>2.0299999999999998</v>
      </c>
      <c r="AP18" s="14">
        <f>_xll.BDH("XOM US Equity","IS_DIL_EPS_BEF_XO","FQ2 2008","FQ2 2008","Currency=USD","Period=FQ","BEST_FPERIOD_OVERRIDE=FQ","FILING_STATUS=OR","Sort=A","Dates=H","DateFormat=P","Fill=—","Direction=H","UseDPDF=Y")</f>
        <v>2.2200000000000002</v>
      </c>
    </row>
    <row r="19" spans="1:42" x14ac:dyDescent="0.25">
      <c r="A19" s="10" t="s">
        <v>366</v>
      </c>
      <c r="B19" s="10" t="s">
        <v>148</v>
      </c>
      <c r="C19" s="14">
        <f>_xll.BDH("XOM US Equity","IS_DIL_EPS_CONT_OPS","FQ3 1998","FQ3 1998","Currency=USD","Period=FQ","BEST_FPERIOD_OVERRIDE=FQ","FILING_STATUS=OR","Sort=A","Dates=H","DateFormat=P","Fill=—","Direction=H","UseDPDF=Y")</f>
        <v>0.28999999999999998</v>
      </c>
      <c r="D19" s="14">
        <f>_xll.BDH("XOM US Equity","IS_DIL_EPS_CONT_OPS","FQ4 1998","FQ4 1998","Currency=USD","Period=FQ","BEST_FPERIOD_OVERRIDE=FQ","FILING_STATUS=OR","Sort=A","Dates=H","DateFormat=P","Fill=—","Direction=H","UseDPDF=Y")</f>
        <v>0.31</v>
      </c>
      <c r="E19" s="14">
        <f>_xll.BDH("XOM US Equity","IS_DIL_EPS_CONT_OPS","FQ1 1999","FQ1 1999","Currency=USD","Period=FQ","BEST_FPERIOD_OVERRIDE=FQ","FILING_STATUS=OR","Sort=A","Dates=H","DateFormat=P","Fill=—","Direction=H","UseDPDF=Y")</f>
        <v>0.21</v>
      </c>
      <c r="F19" s="14">
        <f>_xll.BDH("XOM US Equity","IS_DIL_EPS_CONT_OPS","FQ2 1999","FQ2 1999","Currency=USD","Period=FQ","BEST_FPERIOD_OVERRIDE=FQ","FILING_STATUS=OR","Sort=A","Dates=H","DateFormat=P","Fill=—","Direction=H","UseDPDF=Y")</f>
        <v>0.245</v>
      </c>
      <c r="G19" s="14">
        <f>_xll.BDH("XOM US Equity","IS_DIL_EPS_CONT_OPS","FQ3 1999","FQ3 1999","Currency=USD","Period=FQ","BEST_FPERIOD_OVERRIDE=FQ","FILING_STATUS=OR","Sort=A","Dates=H","DateFormat=P","Fill=—","Direction=H","UseDPDF=Y")</f>
        <v>0.30499999999999999</v>
      </c>
      <c r="H19" s="14">
        <f>_xll.BDH("XOM US Equity","IS_DIL_EPS_CONT_OPS","FQ4 1999","FQ4 1999","Currency=USD","Period=FQ","BEST_FPERIOD_OVERRIDE=FQ","FILING_STATUS=OR","Sort=A","Dates=H","DateFormat=P","Fill=—","Direction=H","UseDPDF=Y")</f>
        <v>0.64500000000000002</v>
      </c>
      <c r="I19" s="14">
        <f>_xll.BDH("XOM US Equity","IS_DIL_EPS_CONT_OPS","FQ1 2000","FQ1 2000","Currency=USD","Period=FQ","BEST_FPERIOD_OVERRIDE=FQ","FILING_STATUS=OR","Sort=A","Dates=H","DateFormat=P","Fill=—","Direction=H","UseDPDF=Y")</f>
        <v>0.47499999999999998</v>
      </c>
      <c r="J19" s="14">
        <f>_xll.BDH("XOM US Equity","IS_DIL_EPS_CONT_OPS","FQ2 2000","FQ2 2000","Currency=USD","Period=FQ","BEST_FPERIOD_OVERRIDE=FQ","FILING_STATUS=OR","Sort=A","Dates=H","DateFormat=P","Fill=—","Direction=H","UseDPDF=Y")</f>
        <v>0.6</v>
      </c>
      <c r="K19" s="14">
        <f>_xll.BDH("XOM US Equity","IS_DIL_EPS_CONT_OPS","FQ3 2000","FQ3 2000","Currency=USD","Period=FQ","BEST_FPERIOD_OVERRIDE=FQ","FILING_STATUS=OR","Sort=A","Dates=H","DateFormat=P","Fill=—","Direction=H","UseDPDF=Y")</f>
        <v>0.6</v>
      </c>
      <c r="L19" s="14">
        <f>_xll.BDH("XOM US Equity","IS_DIL_EPS_CONT_OPS","FQ4 2000","FQ4 2000","Currency=USD","Period=FQ","BEST_FPERIOD_OVERRIDE=FQ","FILING_STATUS=OR","Sort=A","Dates=H","DateFormat=P","Fill=—","Direction=H","UseDPDF=Y")</f>
        <v>0.745</v>
      </c>
      <c r="M19" s="14">
        <f>_xll.BDH("XOM US Equity","IS_DIL_EPS_CONT_OPS","FQ1 2001","FQ1 2001","Currency=USD","Period=FQ","BEST_FPERIOD_OVERRIDE=FQ","FILING_STATUS=OR","Sort=A","Dates=H","DateFormat=P","Fill=—","Direction=H","UseDPDF=Y")</f>
        <v>0.71</v>
      </c>
      <c r="N19" s="14">
        <f>_xll.BDH("XOM US Equity","IS_DIL_EPS_CONT_OPS","FQ2 2001","FQ2 2001","Currency=USD","Period=FQ","BEST_FPERIOD_OVERRIDE=FQ","FILING_STATUS=OR","Sort=A","Dates=H","DateFormat=P","Fill=—","Direction=H","UseDPDF=Y")</f>
        <v>0.63</v>
      </c>
      <c r="O19" s="14">
        <f>_xll.BDH("XOM US Equity","IS_DIL_EPS_CONT_OPS","FQ3 2001","FQ3 2001","Currency=USD","Period=FQ","BEST_FPERIOD_OVERRIDE=FQ","FILING_STATUS=OR","Sort=A","Dates=H","DateFormat=P","Fill=—","Direction=H","UseDPDF=Y")</f>
        <v>0.46</v>
      </c>
      <c r="P19" s="14">
        <f>_xll.BDH("XOM US Equity","IS_DIL_EPS_CONT_OPS","FQ4 2001","FQ4 2001","Currency=USD","Period=FQ","BEST_FPERIOD_OVERRIDE=FQ","FILING_STATUS=OR","Sort=A","Dates=H","DateFormat=P","Fill=—","Direction=H","UseDPDF=Y")</f>
        <v>0.44</v>
      </c>
      <c r="Q19" s="14">
        <f>_xll.BDH("XOM US Equity","IS_DIL_EPS_CONT_OPS","FQ1 2002","FQ1 2002","Currency=USD","Period=FQ","BEST_FPERIOD_OVERRIDE=FQ","FILING_STATUS=OR","Sort=A","Dates=H","DateFormat=P","Fill=—","Direction=H","UseDPDF=Y")</f>
        <v>0.31</v>
      </c>
      <c r="R19" s="14">
        <f>_xll.BDH("XOM US Equity","IS_DIL_EPS_CONT_OPS","FQ2 2002","FQ2 2002","Currency=USD","Period=FQ","BEST_FPERIOD_OVERRIDE=FQ","FILING_STATUS=OR","Sort=A","Dates=H","DateFormat=P","Fill=—","Direction=H","UseDPDF=Y")</f>
        <v>0.39</v>
      </c>
      <c r="S19" s="14">
        <f>_xll.BDH("XOM US Equity","IS_DIL_EPS_CONT_OPS","FQ3 2002","FQ3 2002","Currency=USD","Period=FQ","BEST_FPERIOD_OVERRIDE=FQ","FILING_STATUS=OR","Sort=A","Dates=H","DateFormat=P","Fill=—","Direction=H","UseDPDF=Y")</f>
        <v>0.44</v>
      </c>
      <c r="T19" s="14">
        <f>_xll.BDH("XOM US Equity","IS_DIL_EPS_CONT_OPS","FQ4 2002","FQ4 2002","Currency=USD","Period=FQ","BEST_FPERIOD_OVERRIDE=FQ","FILING_STATUS=OR","Sort=A","Dates=H","DateFormat=P","Fill=—","Direction=H","UseDPDF=Y")</f>
        <v>0.56000000000000005</v>
      </c>
      <c r="U19" s="14">
        <f>_xll.BDH("XOM US Equity","IS_DIL_EPS_CONT_OPS","FQ1 2003","FQ1 2003","Currency=USD","Period=FQ","BEST_FPERIOD_OVERRIDE=FQ","FILING_STATUS=OR","Sort=A","Dates=H","DateFormat=P","Fill=—","Direction=H","UseDPDF=Y")</f>
        <v>0.71299999999999997</v>
      </c>
      <c r="V19" s="14">
        <f>_xll.BDH("XOM US Equity","IS_DIL_EPS_CONT_OPS","FQ2 2003","FQ2 2003","Currency=USD","Period=FQ","BEST_FPERIOD_OVERRIDE=FQ","FILING_STATUS=OR","Sort=A","Dates=H","DateFormat=P","Fill=—","Direction=H","UseDPDF=Y")</f>
        <v>0.62</v>
      </c>
      <c r="W19" s="14">
        <f>_xll.BDH("XOM US Equity","IS_DIL_EPS_CONT_OPS","FQ3 2003","FQ3 2003","Currency=USD","Period=FQ","BEST_FPERIOD_OVERRIDE=FQ","FILING_STATUS=OR","Sort=A","Dates=H","DateFormat=P","Fill=—","Direction=H","UseDPDF=Y")</f>
        <v>0.55000000000000004</v>
      </c>
      <c r="X19" s="14">
        <f>_xll.BDH("XOM US Equity","IS_DIL_EPS_CONT_OPS","FQ4 2003","FQ4 2003","Currency=USD","Period=FQ","BEST_FPERIOD_OVERRIDE=FQ","FILING_STATUS=OR","Sort=A","Dates=H","DateFormat=P","Fill=—","Direction=H","UseDPDF=Y")</f>
        <v>0.66800000000000004</v>
      </c>
      <c r="Y19" s="14">
        <f>_xll.BDH("XOM US Equity","IS_DIL_EPS_CONT_OPS","FQ1 2004","FQ1 2004","Currency=USD","Period=FQ","BEST_FPERIOD_OVERRIDE=FQ","FILING_STATUS=OR","Sort=A","Dates=H","DateFormat=P","Fill=—","Direction=H","UseDPDF=Y")</f>
        <v>0.83</v>
      </c>
      <c r="Z19" s="14">
        <f>_xll.BDH("XOM US Equity","IS_DIL_EPS_CONT_OPS","FQ2 2004","FQ2 2004","Currency=USD","Period=FQ","BEST_FPERIOD_OVERRIDE=FQ","FILING_STATUS=OR","Sort=A","Dates=H","DateFormat=P","Fill=—","Direction=H","UseDPDF=Y")</f>
        <v>0.88</v>
      </c>
      <c r="AA19" s="14">
        <f>_xll.BDH("XOM US Equity","IS_DIL_EPS_CONT_OPS","FQ3 2004","FQ3 2004","Currency=USD","Period=FQ","BEST_FPERIOD_OVERRIDE=FQ","FILING_STATUS=OR","Sort=A","Dates=H","DateFormat=P","Fill=—","Direction=H","UseDPDF=Y")</f>
        <v>0.96</v>
      </c>
      <c r="AB19" s="14">
        <f>_xll.BDH("XOM US Equity","IS_DIL_EPS_CONT_OPS","FQ4 2004","FQ4 2004","Currency=USD","Period=FQ","BEST_FPERIOD_OVERRIDE=FQ","FILING_STATUS=OR","Sort=A","Dates=H","DateFormat=P","Fill=—","Direction=H","UseDPDF=Y")</f>
        <v>1.3</v>
      </c>
      <c r="AC19" s="14">
        <f>_xll.BDH("XOM US Equity","IS_DIL_EPS_CONT_OPS","FQ1 2005","FQ1 2005","Currency=USD","Period=FQ","BEST_FPERIOD_OVERRIDE=FQ","FILING_STATUS=OR","Sort=A","Dates=H","DateFormat=P","Fill=—","Direction=H","UseDPDF=Y")</f>
        <v>1.1499999999999999</v>
      </c>
      <c r="AD19" s="14">
        <f>_xll.BDH("XOM US Equity","IS_DIL_EPS_CONT_OPS","FQ2 2005","FQ2 2005","Currency=USD","Period=FQ","BEST_FPERIOD_OVERRIDE=FQ","FILING_STATUS=OR","Sort=A","Dates=H","DateFormat=P","Fill=—","Direction=H","UseDPDF=Y")</f>
        <v>1.23</v>
      </c>
      <c r="AE19" s="14">
        <f>_xll.BDH("XOM US Equity","IS_DIL_EPS_CONT_OPS","FQ3 2005","FQ3 2005","Currency=USD","Period=FQ","BEST_FPERIOD_OVERRIDE=FQ","FILING_STATUS=OR","Sort=A","Dates=H","DateFormat=P","Fill=—","Direction=H","UseDPDF=Y")</f>
        <v>1.32</v>
      </c>
      <c r="AF19" s="14">
        <f>_xll.BDH("XOM US Equity","IS_DIL_EPS_CONT_OPS","FQ4 2005","FQ4 2005","Currency=USD","Period=FQ","BEST_FPERIOD_OVERRIDE=FQ","FILING_STATUS=OR","Sort=A","Dates=H","DateFormat=P","Fill=—","Direction=H","UseDPDF=Y")</f>
        <v>1.65</v>
      </c>
      <c r="AG19" s="14">
        <f>_xll.BDH("XOM US Equity","IS_DIL_EPS_CONT_OPS","FQ1 2006","FQ1 2006","Currency=USD","Period=FQ","BEST_FPERIOD_OVERRIDE=FQ","FILING_STATUS=OR","Sort=A","Dates=H","DateFormat=P","Fill=—","Direction=H","UseDPDF=Y")</f>
        <v>1.37</v>
      </c>
      <c r="AH19" s="14">
        <f>_xll.BDH("XOM US Equity","IS_DIL_EPS_CONT_OPS","FQ2 2006","FQ2 2006","Currency=USD","Period=FQ","BEST_FPERIOD_OVERRIDE=FQ","FILING_STATUS=OR","Sort=A","Dates=H","DateFormat=P","Fill=—","Direction=H","UseDPDF=Y")</f>
        <v>1.72</v>
      </c>
      <c r="AI19" s="14">
        <f>_xll.BDH("XOM US Equity","IS_DIL_EPS_CONT_OPS","FQ3 2006","FQ3 2006","Currency=USD","Period=FQ","BEST_FPERIOD_OVERRIDE=FQ","FILING_STATUS=OR","Sort=A","Dates=H","DateFormat=P","Fill=—","Direction=H","UseDPDF=Y")</f>
        <v>1.77</v>
      </c>
      <c r="AJ19" s="14">
        <f>_xll.BDH("XOM US Equity","IS_DIL_EPS_CONT_OPS","FQ4 2006","FQ4 2006","Currency=USD","Period=FQ","BEST_FPERIOD_OVERRIDE=FQ","FILING_STATUS=OR","Sort=A","Dates=H","DateFormat=P","Fill=—","Direction=H","UseDPDF=Y")</f>
        <v>1.69</v>
      </c>
      <c r="AK19" s="14">
        <f>_xll.BDH("XOM US Equity","IS_DIL_EPS_CONT_OPS","FQ1 2007","FQ1 2007","Currency=USD","Period=FQ","BEST_FPERIOD_OVERRIDE=FQ","FILING_STATUS=OR","Sort=A","Dates=H","DateFormat=P","Fill=—","Direction=H","UseDPDF=Y")</f>
        <v>1.62</v>
      </c>
      <c r="AL19" s="14">
        <f>_xll.BDH("XOM US Equity","IS_DIL_EPS_CONT_OPS","FQ2 2007","FQ2 2007","Currency=USD","Period=FQ","BEST_FPERIOD_OVERRIDE=FQ","FILING_STATUS=OR","Sort=A","Dates=H","DateFormat=P","Fill=—","Direction=H","UseDPDF=Y")</f>
        <v>1.83</v>
      </c>
      <c r="AM19" s="14">
        <f>_xll.BDH("XOM US Equity","IS_DIL_EPS_CONT_OPS","FQ3 2007","FQ3 2007","Currency=USD","Period=FQ","BEST_FPERIOD_OVERRIDE=FQ","FILING_STATUS=OR","Sort=A","Dates=H","DateFormat=P","Fill=—","Direction=H","UseDPDF=Y")</f>
        <v>1.7</v>
      </c>
      <c r="AN19" s="14">
        <f>_xll.BDH("XOM US Equity","IS_DIL_EPS_CONT_OPS","FQ4 2007","FQ4 2007","Currency=USD","Period=FQ","BEST_FPERIOD_OVERRIDE=FQ","FILING_STATUS=OR","Sort=A","Dates=H","DateFormat=P","Fill=—","Direction=H","UseDPDF=Y")</f>
        <v>2.13</v>
      </c>
      <c r="AO19" s="14">
        <f>_xll.BDH("XOM US Equity","IS_DIL_EPS_CONT_OPS","FQ1 2008","FQ1 2008","Currency=USD","Period=FQ","BEST_FPERIOD_OVERRIDE=FQ","FILING_STATUS=OR","Sort=A","Dates=H","DateFormat=P","Fill=—","Direction=H","UseDPDF=Y")</f>
        <v>2.0299999999999998</v>
      </c>
      <c r="AP19" s="14">
        <f>_xll.BDH("XOM US Equity","IS_DIL_EPS_CONT_OPS","FQ2 2008","FQ2 2008","Currency=USD","Period=FQ","BEST_FPERIOD_OVERRIDE=FQ","FILING_STATUS=OR","Sort=A","Dates=H","DateFormat=P","Fill=—","Direction=H","UseDPDF=Y")</f>
        <v>2.27</v>
      </c>
    </row>
    <row r="20" spans="1:42" x14ac:dyDescent="0.25">
      <c r="A20" s="10" t="s">
        <v>367</v>
      </c>
      <c r="B20" s="10" t="s">
        <v>167</v>
      </c>
      <c r="C20" s="14">
        <f>_xll.BDH("XOM US Equity","EQY_DPS","FQ3 1998","FQ3 1998","Currency=USD","Period=FQ","BEST_FPERIOD_OVERRIDE=FQ","FILING_STATUS=OR","Sort=A","Dates=H","DateFormat=P","Fill=—","Direction=H","UseDPDF=Y")</f>
        <v>0.20499999999999999</v>
      </c>
      <c r="D20" s="14">
        <f>_xll.BDH("XOM US Equity","EQY_DPS","FQ4 1998","FQ4 1998","Currency=USD","Period=FQ","BEST_FPERIOD_OVERRIDE=FQ","FILING_STATUS=OR","Sort=A","Dates=H","DateFormat=P","Fill=—","Direction=H","UseDPDF=Y")</f>
        <v>0.20499999999999999</v>
      </c>
      <c r="E20" s="14">
        <f>_xll.BDH("XOM US Equity","EQY_DPS","FQ1 1999","FQ1 1999","Currency=USD","Period=FQ","BEST_FPERIOD_OVERRIDE=FQ","FILING_STATUS=OR","Sort=A","Dates=H","DateFormat=P","Fill=—","Direction=H","UseDPDF=Y")</f>
        <v>0.20499999999999999</v>
      </c>
      <c r="F20" s="14">
        <f>_xll.BDH("XOM US Equity","EQY_DPS","FQ2 1999","FQ2 1999","Currency=USD","Period=FQ","BEST_FPERIOD_OVERRIDE=FQ","FILING_STATUS=OR","Sort=A","Dates=H","DateFormat=P","Fill=—","Direction=H","UseDPDF=Y")</f>
        <v>0.20499999999999999</v>
      </c>
      <c r="G20" s="14">
        <f>_xll.BDH("XOM US Equity","EQY_DPS","FQ3 1999","FQ3 1999","Currency=USD","Period=FQ","BEST_FPERIOD_OVERRIDE=FQ","FILING_STATUS=OR","Sort=A","Dates=H","DateFormat=P","Fill=—","Direction=H","UseDPDF=Y")</f>
        <v>0.20499999999999999</v>
      </c>
      <c r="H20" s="14">
        <f>_xll.BDH("XOM US Equity","EQY_DPS","FQ4 1999","FQ4 1999","Currency=USD","Period=FQ","BEST_FPERIOD_OVERRIDE=FQ","FILING_STATUS=OR","Sort=A","Dates=H","DateFormat=P","Fill=—","Direction=H","UseDPDF=Y")</f>
        <v>0.20499999999999999</v>
      </c>
      <c r="I20" s="14">
        <f>_xll.BDH("XOM US Equity","EQY_DPS","FQ1 2000","FQ1 2000","Currency=USD","Period=FQ","BEST_FPERIOD_OVERRIDE=FQ","FILING_STATUS=OR","Sort=A","Dates=H","DateFormat=P","Fill=—","Direction=H","UseDPDF=Y")</f>
        <v>0.22</v>
      </c>
      <c r="J20" s="14">
        <f>_xll.BDH("XOM US Equity","EQY_DPS","FQ2 2000","FQ2 2000","Currency=USD","Period=FQ","BEST_FPERIOD_OVERRIDE=FQ","FILING_STATUS=OR","Sort=A","Dates=H","DateFormat=P","Fill=—","Direction=H","UseDPDF=Y")</f>
        <v>0.22</v>
      </c>
      <c r="K20" s="14">
        <f>_xll.BDH("XOM US Equity","EQY_DPS","FQ3 2000","FQ3 2000","Currency=USD","Period=FQ","BEST_FPERIOD_OVERRIDE=FQ","FILING_STATUS=OR","Sort=A","Dates=H","DateFormat=P","Fill=—","Direction=H","UseDPDF=Y")</f>
        <v>0.22</v>
      </c>
      <c r="L20" s="14">
        <f>_xll.BDH("XOM US Equity","EQY_DPS","FQ4 2000","FQ4 2000","Currency=USD","Period=FQ","BEST_FPERIOD_OVERRIDE=FQ","FILING_STATUS=OR","Sort=A","Dates=H","DateFormat=P","Fill=—","Direction=H","UseDPDF=Y")</f>
        <v>0.22</v>
      </c>
      <c r="M20" s="14">
        <f>_xll.BDH("XOM US Equity","EQY_DPS","FQ1 2001","FQ1 2001","Currency=USD","Period=FQ","BEST_FPERIOD_OVERRIDE=FQ","FILING_STATUS=OR","Sort=A","Dates=H","DateFormat=P","Fill=—","Direction=H","UseDPDF=Y")</f>
        <v>0.22</v>
      </c>
      <c r="N20" s="14">
        <f>_xll.BDH("XOM US Equity","EQY_DPS","FQ2 2001","FQ2 2001","Currency=USD","Period=FQ","BEST_FPERIOD_OVERRIDE=FQ","FILING_STATUS=OR","Sort=A","Dates=H","DateFormat=P","Fill=—","Direction=H","UseDPDF=Y")</f>
        <v>0.23</v>
      </c>
      <c r="O20" s="14">
        <f>_xll.BDH("XOM US Equity","EQY_DPS","FQ3 2001","FQ3 2001","Currency=USD","Period=FQ","BEST_FPERIOD_OVERRIDE=FQ","FILING_STATUS=OR","Sort=A","Dates=H","DateFormat=P","Fill=—","Direction=H","UseDPDF=Y")</f>
        <v>0.23</v>
      </c>
      <c r="P20" s="14">
        <f>_xll.BDH("XOM US Equity","EQY_DPS","FQ4 2001","FQ4 2001","Currency=USD","Period=FQ","BEST_FPERIOD_OVERRIDE=FQ","FILING_STATUS=OR","Sort=A","Dates=H","DateFormat=P","Fill=—","Direction=H","UseDPDF=Y")</f>
        <v>0.22</v>
      </c>
      <c r="Q20" s="14">
        <f>_xll.BDH("XOM US Equity","EQY_DPS","FQ1 2002","FQ1 2002","Currency=USD","Period=FQ","BEST_FPERIOD_OVERRIDE=FQ","FILING_STATUS=OR","Sort=A","Dates=H","DateFormat=P","Fill=—","Direction=H","UseDPDF=Y")</f>
        <v>0.23</v>
      </c>
      <c r="R20" s="14">
        <f>_xll.BDH("XOM US Equity","EQY_DPS","FQ2 2002","FQ2 2002","Currency=USD","Period=FQ","BEST_FPERIOD_OVERRIDE=FQ","FILING_STATUS=OR","Sort=A","Dates=H","DateFormat=P","Fill=—","Direction=H","UseDPDF=Y")</f>
        <v>0.23</v>
      </c>
      <c r="S20" s="14">
        <f>_xll.BDH("XOM US Equity","EQY_DPS","FQ3 2002","FQ3 2002","Currency=USD","Period=FQ","BEST_FPERIOD_OVERRIDE=FQ","FILING_STATUS=OR","Sort=A","Dates=H","DateFormat=P","Fill=—","Direction=H","UseDPDF=Y")</f>
        <v>0.23</v>
      </c>
      <c r="T20" s="14">
        <f>_xll.BDH("XOM US Equity","EQY_DPS","FQ4 2002","FQ4 2002","Currency=USD","Period=FQ","BEST_FPERIOD_OVERRIDE=FQ","FILING_STATUS=OR","Sort=A","Dates=H","DateFormat=P","Fill=—","Direction=H","UseDPDF=Y")</f>
        <v>0.23</v>
      </c>
      <c r="U20" s="14">
        <f>_xll.BDH("XOM US Equity","EQY_DPS","FQ1 2003","FQ1 2003","Currency=USD","Period=FQ","BEST_FPERIOD_OVERRIDE=FQ","FILING_STATUS=OR","Sort=A","Dates=H","DateFormat=P","Fill=—","Direction=H","UseDPDF=Y")</f>
        <v>0.23</v>
      </c>
      <c r="V20" s="14">
        <f>_xll.BDH("XOM US Equity","EQY_DPS","FQ2 2003","FQ2 2003","Currency=USD","Period=FQ","BEST_FPERIOD_OVERRIDE=FQ","FILING_STATUS=OR","Sort=A","Dates=H","DateFormat=P","Fill=—","Direction=H","UseDPDF=Y")</f>
        <v>0.25</v>
      </c>
      <c r="W20" s="14">
        <f>_xll.BDH("XOM US Equity","EQY_DPS","FQ3 2003","FQ3 2003","Currency=USD","Period=FQ","BEST_FPERIOD_OVERRIDE=FQ","FILING_STATUS=OR","Sort=A","Dates=H","DateFormat=P","Fill=—","Direction=H","UseDPDF=Y")</f>
        <v>0.25</v>
      </c>
      <c r="X20" s="14">
        <f>_xll.BDH("XOM US Equity","EQY_DPS","FQ4 2003","FQ4 2003","Currency=USD","Period=FQ","BEST_FPERIOD_OVERRIDE=FQ","FILING_STATUS=OR","Sort=A","Dates=H","DateFormat=P","Fill=—","Direction=H","UseDPDF=Y")</f>
        <v>0.25</v>
      </c>
      <c r="Y20" s="14">
        <f>_xll.BDH("XOM US Equity","EQY_DPS","FQ1 2004","FQ1 2004","Currency=USD","Period=FQ","BEST_FPERIOD_OVERRIDE=FQ","FILING_STATUS=OR","Sort=A","Dates=H","DateFormat=P","Fill=—","Direction=H","UseDPDF=Y")</f>
        <v>0.25</v>
      </c>
      <c r="Z20" s="14">
        <f>_xll.BDH("XOM US Equity","EQY_DPS","FQ2 2004","FQ2 2004","Currency=USD","Period=FQ","BEST_FPERIOD_OVERRIDE=FQ","FILING_STATUS=OR","Sort=A","Dates=H","DateFormat=P","Fill=—","Direction=H","UseDPDF=Y")</f>
        <v>0.27</v>
      </c>
      <c r="AA20" s="14">
        <f>_xll.BDH("XOM US Equity","EQY_DPS","FQ3 2004","FQ3 2004","Currency=USD","Period=FQ","BEST_FPERIOD_OVERRIDE=FQ","FILING_STATUS=OR","Sort=A","Dates=H","DateFormat=P","Fill=—","Direction=H","UseDPDF=Y")</f>
        <v>0.27</v>
      </c>
      <c r="AB20" s="14">
        <f>_xll.BDH("XOM US Equity","EQY_DPS","FQ4 2004","FQ4 2004","Currency=USD","Period=FQ","BEST_FPERIOD_OVERRIDE=FQ","FILING_STATUS=OR","Sort=A","Dates=H","DateFormat=P","Fill=—","Direction=H","UseDPDF=Y")</f>
        <v>0.27</v>
      </c>
      <c r="AC20" s="14">
        <f>_xll.BDH("XOM US Equity","EQY_DPS","FQ1 2005","FQ1 2005","Currency=USD","Period=FQ","BEST_FPERIOD_OVERRIDE=FQ","FILING_STATUS=OR","Sort=A","Dates=H","DateFormat=P","Fill=—","Direction=H","UseDPDF=Y")</f>
        <v>0.27</v>
      </c>
      <c r="AD20" s="14">
        <f>_xll.BDH("XOM US Equity","EQY_DPS","FQ2 2005","FQ2 2005","Currency=USD","Period=FQ","BEST_FPERIOD_OVERRIDE=FQ","FILING_STATUS=OR","Sort=A","Dates=H","DateFormat=P","Fill=—","Direction=H","UseDPDF=Y")</f>
        <v>0.28999999999999998</v>
      </c>
      <c r="AE20" s="14">
        <f>_xll.BDH("XOM US Equity","EQY_DPS","FQ3 2005","FQ3 2005","Currency=USD","Period=FQ","BEST_FPERIOD_OVERRIDE=FQ","FILING_STATUS=OR","Sort=A","Dates=H","DateFormat=P","Fill=—","Direction=H","UseDPDF=Y")</f>
        <v>0.28999999999999998</v>
      </c>
      <c r="AF20" s="14">
        <f>_xll.BDH("XOM US Equity","EQY_DPS","FQ4 2005","FQ4 2005","Currency=USD","Period=FQ","BEST_FPERIOD_OVERRIDE=FQ","FILING_STATUS=OR","Sort=A","Dates=H","DateFormat=P","Fill=—","Direction=H","UseDPDF=Y")</f>
        <v>0.28999999999999998</v>
      </c>
      <c r="AG20" s="14">
        <f>_xll.BDH("XOM US Equity","EQY_DPS","FQ1 2006","FQ1 2006","Currency=USD","Period=FQ","BEST_FPERIOD_OVERRIDE=FQ","FILING_STATUS=OR","Sort=A","Dates=H","DateFormat=P","Fill=—","Direction=H","UseDPDF=Y")</f>
        <v>0.32</v>
      </c>
      <c r="AH20" s="14">
        <f>_xll.BDH("XOM US Equity","EQY_DPS","FQ2 2006","FQ2 2006","Currency=USD","Period=FQ","BEST_FPERIOD_OVERRIDE=FQ","FILING_STATUS=OR","Sort=A","Dates=H","DateFormat=P","Fill=—","Direction=H","UseDPDF=Y")</f>
        <v>0.32</v>
      </c>
      <c r="AI20" s="14">
        <f>_xll.BDH("XOM US Equity","EQY_DPS","FQ3 2006","FQ3 2006","Currency=USD","Period=FQ","BEST_FPERIOD_OVERRIDE=FQ","FILING_STATUS=OR","Sort=A","Dates=H","DateFormat=P","Fill=—","Direction=H","UseDPDF=Y")</f>
        <v>0.32</v>
      </c>
      <c r="AJ20" s="14">
        <f>_xll.BDH("XOM US Equity","EQY_DPS","FQ4 2006","FQ4 2006","Currency=USD","Period=FQ","BEST_FPERIOD_OVERRIDE=FQ","FILING_STATUS=OR","Sort=A","Dates=H","DateFormat=P","Fill=—","Direction=H","UseDPDF=Y")</f>
        <v>0.32</v>
      </c>
      <c r="AK20" s="14">
        <f>_xll.BDH("XOM US Equity","EQY_DPS","FQ1 2007","FQ1 2007","Currency=USD","Period=FQ","BEST_FPERIOD_OVERRIDE=FQ","FILING_STATUS=OR","Sort=A","Dates=H","DateFormat=P","Fill=—","Direction=H","UseDPDF=Y")</f>
        <v>0.32</v>
      </c>
      <c r="AL20" s="14">
        <f>_xll.BDH("XOM US Equity","EQY_DPS","FQ2 2007","FQ2 2007","Currency=USD","Period=FQ","BEST_FPERIOD_OVERRIDE=FQ","FILING_STATUS=OR","Sort=A","Dates=H","DateFormat=P","Fill=—","Direction=H","UseDPDF=Y")</f>
        <v>0.35</v>
      </c>
      <c r="AM20" s="14">
        <f>_xll.BDH("XOM US Equity","EQY_DPS","FQ3 2007","FQ3 2007","Currency=USD","Period=FQ","BEST_FPERIOD_OVERRIDE=FQ","FILING_STATUS=OR","Sort=A","Dates=H","DateFormat=P","Fill=—","Direction=H","UseDPDF=Y")</f>
        <v>0.35</v>
      </c>
      <c r="AN20" s="14">
        <f>_xll.BDH("XOM US Equity","EQY_DPS","FQ4 2007","FQ4 2007","Currency=USD","Period=FQ","BEST_FPERIOD_OVERRIDE=FQ","FILING_STATUS=OR","Sort=A","Dates=H","DateFormat=P","Fill=—","Direction=H","UseDPDF=Y")</f>
        <v>0.35</v>
      </c>
      <c r="AO20" s="14">
        <f>_xll.BDH("XOM US Equity","EQY_DPS","FQ1 2008","FQ1 2008","Currency=USD","Period=FQ","BEST_FPERIOD_OVERRIDE=FQ","FILING_STATUS=OR","Sort=A","Dates=H","DateFormat=P","Fill=—","Direction=H","UseDPDF=Y")</f>
        <v>0.35</v>
      </c>
      <c r="AP20" s="14">
        <f>_xll.BDH("XOM US Equity","EQY_DPS","FQ2 2008","FQ2 2008","Currency=USD","Period=FQ","BEST_FPERIOD_OVERRIDE=FQ","FILING_STATUS=OR","Sort=A","Dates=H","DateFormat=P","Fill=—","Direction=H","UseDPDF=Y")</f>
        <v>0.4</v>
      </c>
    </row>
    <row r="21" spans="1:42" x14ac:dyDescent="0.25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10" t="s">
        <v>368</v>
      </c>
      <c r="B22" s="10" t="s">
        <v>369</v>
      </c>
      <c r="C22" s="14">
        <f>_xll.BDH("XOM US Equity","CASH_FLOW_PER_SH","FQ3 1998","FQ3 1998","Currency=USD","Period=FQ","BEST_FPERIOD_OVERRIDE=FQ","FILING_STATUS=OR","Sort=A","Dates=H","DateFormat=P","Fill=—","Direction=H","UseDPDF=Y")</f>
        <v>0.74070000000000003</v>
      </c>
      <c r="D22" s="14">
        <f>_xll.BDH("XOM US Equity","CASH_FLOW_PER_SH","FQ4 1998","FQ4 1998","Currency=USD","Period=FQ","BEST_FPERIOD_OVERRIDE=FQ","FILING_STATUS=OR","Sort=A","Dates=H","DateFormat=P","Fill=—","Direction=H","UseDPDF=Y")</f>
        <v>1.4581999999999999</v>
      </c>
      <c r="E22" s="14">
        <f>_xll.BDH("XOM US Equity","CASH_FLOW_PER_SH","FQ1 1999","FQ1 1999","Currency=USD","Period=FQ","BEST_FPERIOD_OVERRIDE=FQ","FILING_STATUS=OR","Sort=A","Dates=H","DateFormat=P","Fill=—","Direction=H","UseDPDF=Y")</f>
        <v>0.56669999999999998</v>
      </c>
      <c r="F22" s="14">
        <f>_xll.BDH("XOM US Equity","CASH_FLOW_PER_SH","FQ2 1999","FQ2 1999","Currency=USD","Period=FQ","BEST_FPERIOD_OVERRIDE=FQ","FILING_STATUS=OR","Sort=A","Dates=H","DateFormat=P","Fill=—","Direction=H","UseDPDF=Y")</f>
        <v>0.47120000000000001</v>
      </c>
      <c r="G22" s="14">
        <f>_xll.BDH("XOM US Equity","CASH_FLOW_PER_SH","FQ3 1999","FQ3 1999","Currency=USD","Period=FQ","BEST_FPERIOD_OVERRIDE=FQ","FILING_STATUS=OR","Sort=A","Dates=H","DateFormat=P","Fill=—","Direction=H","UseDPDF=Y")</f>
        <v>0.58009999999999995</v>
      </c>
      <c r="H22" s="14">
        <f>_xll.BDH("XOM US Equity","CASH_FLOW_PER_SH","FQ4 1999","FQ4 1999","Currency=USD","Period=FQ","BEST_FPERIOD_OVERRIDE=FQ","FILING_STATUS=OR","Sort=A","Dates=H","DateFormat=P","Fill=—","Direction=H","UseDPDF=Y")</f>
        <v>1.0362</v>
      </c>
      <c r="I22" s="14">
        <f>_xll.BDH("XOM US Equity","CASH_FLOW_PER_SH","FQ1 2000","FQ1 2000","Currency=USD","Period=FQ","BEST_FPERIOD_OVERRIDE=FQ","FILING_STATUS=OR","Sort=A","Dates=H","DateFormat=P","Fill=—","Direction=H","UseDPDF=Y")</f>
        <v>0.78920000000000001</v>
      </c>
      <c r="J22" s="14">
        <f>_xll.BDH("XOM US Equity","CASH_FLOW_PER_SH","FQ2 2000","FQ2 2000","Currency=USD","Period=FQ","BEST_FPERIOD_OVERRIDE=FQ","FILING_STATUS=OR","Sort=A","Dates=H","DateFormat=P","Fill=—","Direction=H","UseDPDF=Y")</f>
        <v>0.85670000000000002</v>
      </c>
      <c r="K22" s="14">
        <f>_xll.BDH("XOM US Equity","CASH_FLOW_PER_SH","FQ3 2000","FQ3 2000","Currency=USD","Period=FQ","BEST_FPERIOD_OVERRIDE=FQ","FILING_STATUS=OR","Sort=A","Dates=H","DateFormat=P","Fill=—","Direction=H","UseDPDF=Y")</f>
        <v>0.77700000000000002</v>
      </c>
      <c r="L22" s="14">
        <f>_xll.BDH("XOM US Equity","CASH_FLOW_PER_SH","FQ4 2000","FQ4 2000","Currency=USD","Period=FQ","BEST_FPERIOD_OVERRIDE=FQ","FILING_STATUS=OR","Sort=A","Dates=H","DateFormat=P","Fill=—","Direction=H","UseDPDF=Y")</f>
        <v>0.87560000000000004</v>
      </c>
      <c r="M22" s="14">
        <f>_xll.BDH("XOM US Equity","CASH_FLOW_PER_SH","FQ1 2001","FQ1 2001","Currency=USD","Period=FQ","BEST_FPERIOD_OVERRIDE=FQ","FILING_STATUS=OR","Sort=A","Dates=H","DateFormat=P","Fill=—","Direction=H","UseDPDF=Y")</f>
        <v>1.2629000000000001</v>
      </c>
      <c r="N22" s="14">
        <f>_xll.BDH("XOM US Equity","CASH_FLOW_PER_SH","FQ2 2001","FQ2 2001","Currency=USD","Period=FQ","BEST_FPERIOD_OVERRIDE=FQ","FILING_STATUS=OR","Sort=A","Dates=H","DateFormat=P","Fill=—","Direction=H","UseDPDF=Y")</f>
        <v>0.80120000000000002</v>
      </c>
      <c r="O22" s="14">
        <f>_xll.BDH("XOM US Equity","CASH_FLOW_PER_SH","FQ3 2001","FQ3 2001","Currency=USD","Period=FQ","BEST_FPERIOD_OVERRIDE=FQ","FILING_STATUS=OR","Sort=A","Dates=H","DateFormat=P","Fill=—","Direction=H","UseDPDF=Y")</f>
        <v>0.76690000000000003</v>
      </c>
      <c r="P22" s="14">
        <f>_xll.BDH("XOM US Equity","CASH_FLOW_PER_SH","FQ4 2001","FQ4 2001","Currency=USD","Period=FQ","BEST_FPERIOD_OVERRIDE=FQ","FILING_STATUS=OR","Sort=A","Dates=H","DateFormat=P","Fill=—","Direction=H","UseDPDF=Y")</f>
        <v>0.49680000000000002</v>
      </c>
      <c r="Q22" s="14">
        <f>_xll.BDH("XOM US Equity","CASH_FLOW_PER_SH","FQ1 2002","FQ1 2002","Currency=USD","Period=FQ","BEST_FPERIOD_OVERRIDE=FQ","FILING_STATUS=OR","Sort=A","Dates=H","DateFormat=P","Fill=—","Direction=H","UseDPDF=Y")</f>
        <v>0.68069999999999997</v>
      </c>
      <c r="R22" s="14">
        <f>_xll.BDH("XOM US Equity","CASH_FLOW_PER_SH","FQ2 2002","FQ2 2002","Currency=USD","Period=FQ","BEST_FPERIOD_OVERRIDE=FQ","FILING_STATUS=OR","Sort=A","Dates=H","DateFormat=P","Fill=—","Direction=H","UseDPDF=Y")</f>
        <v>0.60819999999999996</v>
      </c>
      <c r="S22" s="14">
        <f>_xll.BDH("XOM US Equity","CASH_FLOW_PER_SH","FQ3 2002","FQ3 2002","Currency=USD","Period=FQ","BEST_FPERIOD_OVERRIDE=FQ","FILING_STATUS=OR","Sort=A","Dates=H","DateFormat=P","Fill=—","Direction=H","UseDPDF=Y")</f>
        <v>1.1052</v>
      </c>
      <c r="T22" s="14">
        <f>_xll.BDH("XOM US Equity","CASH_FLOW_PER_SH","FQ4 2002","FQ4 2002","Currency=USD","Period=FQ","BEST_FPERIOD_OVERRIDE=FQ","FILING_STATUS=OR","Sort=A","Dates=H","DateFormat=P","Fill=—","Direction=H","UseDPDF=Y")</f>
        <v>0.75670000000000004</v>
      </c>
      <c r="U22" s="14">
        <f>_xll.BDH("XOM US Equity","CASH_FLOW_PER_SH","FQ1 2003","FQ1 2003","Currency=USD","Period=FQ","BEST_FPERIOD_OVERRIDE=FQ","FILING_STATUS=OR","Sort=A","Dates=H","DateFormat=P","Fill=—","Direction=H","UseDPDF=Y")</f>
        <v>1.2937000000000001</v>
      </c>
      <c r="V22" s="14">
        <f>_xll.BDH("XOM US Equity","CASH_FLOW_PER_SH","FQ2 2003","FQ2 2003","Currency=USD","Period=FQ","BEST_FPERIOD_OVERRIDE=FQ","FILING_STATUS=OR","Sort=A","Dates=H","DateFormat=P","Fill=—","Direction=H","UseDPDF=Y")</f>
        <v>1.1044</v>
      </c>
      <c r="W22" s="14">
        <f>_xll.BDH("XOM US Equity","CASH_FLOW_PER_SH","FQ3 2003","FQ3 2003","Currency=USD","Period=FQ","BEST_FPERIOD_OVERRIDE=FQ","FILING_STATUS=OR","Sort=A","Dates=H","DateFormat=P","Fill=—","Direction=H","UseDPDF=Y")</f>
        <v>0.86180000000000001</v>
      </c>
      <c r="X22" s="14">
        <f>_xll.BDH("XOM US Equity","CASH_FLOW_PER_SH","FQ4 2003","FQ4 2003","Currency=USD","Period=FQ","BEST_FPERIOD_OVERRIDE=FQ","FILING_STATUS=OR","Sort=A","Dates=H","DateFormat=P","Fill=—","Direction=H","UseDPDF=Y")</f>
        <v>1.0333000000000001</v>
      </c>
      <c r="Y22" s="14">
        <f>_xll.BDH("XOM US Equity","CASH_FLOW_PER_SH","FQ1 2004","FQ1 2004","Currency=USD","Period=FQ","BEST_FPERIOD_OVERRIDE=FQ","FILING_STATUS=OR","Sort=A","Dates=H","DateFormat=P","Fill=—","Direction=H","UseDPDF=Y")</f>
        <v>1.5491999999999999</v>
      </c>
      <c r="Z22" s="14">
        <f>_xll.BDH("XOM US Equity","CASH_FLOW_PER_SH","FQ2 2004","FQ2 2004","Currency=USD","Period=FQ","BEST_FPERIOD_OVERRIDE=FQ","FILING_STATUS=OR","Sort=A","Dates=H","DateFormat=P","Fill=—","Direction=H","UseDPDF=Y")</f>
        <v>1.3298000000000001</v>
      </c>
      <c r="AA22" s="14">
        <f>_xll.BDH("XOM US Equity","CASH_FLOW_PER_SH","FQ3 2004","FQ3 2004","Currency=USD","Period=FQ","BEST_FPERIOD_OVERRIDE=FQ","FILING_STATUS=OR","Sort=A","Dates=H","DateFormat=P","Fill=—","Direction=H","UseDPDF=Y")</f>
        <v>1.4623999999999999</v>
      </c>
      <c r="AB22" s="14">
        <f>_xll.BDH("XOM US Equity","CASH_FLOW_PER_SH","FQ4 2004","FQ4 2004","Currency=USD","Period=FQ","BEST_FPERIOD_OVERRIDE=FQ","FILING_STATUS=OR","Sort=A","Dates=H","DateFormat=P","Fill=—","Direction=H","UseDPDF=Y")</f>
        <v>1.9198</v>
      </c>
      <c r="AC22" s="14">
        <f>_xll.BDH("XOM US Equity","CASH_FLOW_PER_SH","FQ1 2005","FQ1 2005","Currency=USD","Period=FQ","BEST_FPERIOD_OVERRIDE=FQ","FILING_STATUS=OR","Sort=A","Dates=H","DateFormat=P","Fill=—","Direction=H","UseDPDF=Y")</f>
        <v>2.0373999999999999</v>
      </c>
      <c r="AD22" s="14">
        <f>_xll.BDH("XOM US Equity","CASH_FLOW_PER_SH","FQ2 2005","FQ2 2005","Currency=USD","Period=FQ","BEST_FPERIOD_OVERRIDE=FQ","FILING_STATUS=OR","Sort=A","Dates=H","DateFormat=P","Fill=—","Direction=H","UseDPDF=Y")</f>
        <v>1.4283999999999999</v>
      </c>
      <c r="AE22" s="14">
        <f>_xll.BDH("XOM US Equity","CASH_FLOW_PER_SH","FQ3 2005","FQ3 2005","Currency=USD","Period=FQ","BEST_FPERIOD_OVERRIDE=FQ","FILING_STATUS=OR","Sort=A","Dates=H","DateFormat=P","Fill=—","Direction=H","UseDPDF=Y")</f>
        <v>2.5263999999999998</v>
      </c>
      <c r="AF22" s="14">
        <f>_xll.BDH("XOM US Equity","CASH_FLOW_PER_SH","FQ4 2005","FQ4 2005","Currency=USD","Period=FQ","BEST_FPERIOD_OVERRIDE=FQ","FILING_STATUS=OR","Sort=A","Dates=H","DateFormat=P","Fill=—","Direction=H","UseDPDF=Y")</f>
        <v>1.6688000000000001</v>
      </c>
      <c r="AG22" s="14">
        <f>_xll.BDH("XOM US Equity","CASH_FLOW_PER_SH","FQ1 2006","FQ1 2006","Currency=USD","Period=FQ","BEST_FPERIOD_OVERRIDE=FQ","FILING_STATUS=OR","Sort=A","Dates=H","DateFormat=P","Fill=—","Direction=H","UseDPDF=Y")</f>
        <v>2.4112</v>
      </c>
      <c r="AH22" s="14">
        <f>_xll.BDH("XOM US Equity","CASH_FLOW_PER_SH","FQ2 2006","FQ2 2006","Currency=USD","Period=FQ","BEST_FPERIOD_OVERRIDE=FQ","FILING_STATUS=OR","Sort=A","Dates=H","DateFormat=P","Fill=—","Direction=H","UseDPDF=Y")</f>
        <v>1.8917999999999999</v>
      </c>
      <c r="AI22" s="14">
        <f>_xll.BDH("XOM US Equity","CASH_FLOW_PER_SH","FQ3 2006","FQ3 2006","Currency=USD","Period=FQ","BEST_FPERIOD_OVERRIDE=FQ","FILING_STATUS=OR","Sort=A","Dates=H","DateFormat=P","Fill=—","Direction=H","UseDPDF=Y")</f>
        <v>2.4735</v>
      </c>
      <c r="AJ22" s="14">
        <f>_xll.BDH("XOM US Equity","CASH_FLOW_PER_SH","FQ4 2006","FQ4 2006","Currency=USD","Period=FQ","BEST_FPERIOD_OVERRIDE=FQ","FILING_STATUS=OR","Sort=A","Dates=H","DateFormat=P","Fill=—","Direction=H","UseDPDF=Y")</f>
        <v>1.5303</v>
      </c>
      <c r="AK22" s="14">
        <f>_xll.BDH("XOM US Equity","CASH_FLOW_PER_SH","FQ1 2007","FQ1 2007","Currency=USD","Period=FQ","BEST_FPERIOD_OVERRIDE=FQ","FILING_STATUS=OR","Sort=A","Dates=H","DateFormat=P","Fill=—","Direction=H","UseDPDF=Y")</f>
        <v>2.5285000000000002</v>
      </c>
      <c r="AL22" s="14">
        <f>_xll.BDH("XOM US Equity","CASH_FLOW_PER_SH","FQ2 2007","FQ2 2007","Currency=USD","Period=FQ","BEST_FPERIOD_OVERRIDE=FQ","FILING_STATUS=OR","Sort=A","Dates=H","DateFormat=P","Fill=—","Direction=H","UseDPDF=Y")</f>
        <v>2.0373999999999999</v>
      </c>
      <c r="AM22" s="14">
        <f>_xll.BDH("XOM US Equity","CASH_FLOW_PER_SH","FQ3 2007","FQ3 2007","Currency=USD","Period=FQ","BEST_FPERIOD_OVERRIDE=FQ","FILING_STATUS=OR","Sort=A","Dates=H","DateFormat=P","Fill=—","Direction=H","UseDPDF=Y")</f>
        <v>2.7537000000000003</v>
      </c>
      <c r="AN22" s="14">
        <f>_xll.BDH("XOM US Equity","CASH_FLOW_PER_SH","FQ4 2007","FQ4 2007","Currency=USD","Period=FQ","BEST_FPERIOD_OVERRIDE=FQ","FILING_STATUS=OR","Sort=A","Dates=H","DateFormat=P","Fill=—","Direction=H","UseDPDF=Y")</f>
        <v>2.0901999999999998</v>
      </c>
      <c r="AO22" s="14">
        <f>_xll.BDH("XOM US Equity","CASH_FLOW_PER_SH","FQ1 2008","FQ1 2008","Currency=USD","Period=FQ","BEST_FPERIOD_OVERRIDE=FQ","FILING_STATUS=OR","Sort=A","Dates=H","DateFormat=P","Fill=—","Direction=H","UseDPDF=Y")</f>
        <v>4.0407000000000002</v>
      </c>
      <c r="AP22" s="14">
        <f>_xll.BDH("XOM US Equity","CASH_FLOW_PER_SH","FQ2 2008","FQ2 2008","Currency=USD","Period=FQ","BEST_FPERIOD_OVERRIDE=FQ","FILING_STATUS=OR","Sort=A","Dates=H","DateFormat=P","Fill=—","Direction=H","UseDPDF=Y")</f>
        <v>2.5798999999999999</v>
      </c>
    </row>
    <row r="23" spans="1:42" x14ac:dyDescent="0.25">
      <c r="A23" s="10" t="s">
        <v>342</v>
      </c>
      <c r="B23" s="10" t="s">
        <v>349</v>
      </c>
      <c r="C23" s="14">
        <f>_xll.BDH("XOM US Equity","FREE_CASH_FLOW_PER_SH","FQ3 1998","FQ3 1998","Currency=USD","Period=FQ","BEST_FPERIOD_OVERRIDE=FQ","FILING_STATUS=OR","Sort=A","Dates=H","DateFormat=P","Fill=—","Direction=H","UseDPDF=Y")</f>
        <v>0.28810000000000002</v>
      </c>
      <c r="D23" s="14">
        <f>_xll.BDH("XOM US Equity","FREE_CASH_FLOW_PER_SH","FQ4 1998","FQ4 1998","Currency=USD","Period=FQ","BEST_FPERIOD_OVERRIDE=FQ","FILING_STATUS=OR","Sort=A","Dates=H","DateFormat=P","Fill=—","Direction=H","UseDPDF=Y")</f>
        <v>3.8899999999999997E-2</v>
      </c>
      <c r="E23" s="14">
        <f>_xll.BDH("XOM US Equity","FREE_CASH_FLOW_PER_SH","FQ1 1999","FQ1 1999","Currency=USD","Period=FQ","BEST_FPERIOD_OVERRIDE=FQ","FILING_STATUS=OR","Sort=A","Dates=H","DateFormat=P","Fill=—","Direction=H","UseDPDF=Y")</f>
        <v>0.18859999999999999</v>
      </c>
      <c r="F23" s="14">
        <f>_xll.BDH("XOM US Equity","FREE_CASH_FLOW_PER_SH","FQ2 1999","FQ2 1999","Currency=USD","Period=FQ","BEST_FPERIOD_OVERRIDE=FQ","FILING_STATUS=OR","Sort=A","Dates=H","DateFormat=P","Fill=—","Direction=H","UseDPDF=Y")</f>
        <v>8.6E-3</v>
      </c>
      <c r="G23" s="14">
        <f>_xll.BDH("XOM US Equity","FREE_CASH_FLOW_PER_SH","FQ3 1999","FQ3 1999","Currency=USD","Period=FQ","BEST_FPERIOD_OVERRIDE=FQ","FILING_STATUS=OR","Sort=A","Dates=H","DateFormat=P","Fill=—","Direction=H","UseDPDF=Y")</f>
        <v>0.23150000000000001</v>
      </c>
      <c r="H23" s="14">
        <f>_xll.BDH("XOM US Equity","FREE_CASH_FLOW_PER_SH","FQ4 1999","FQ4 1999","Currency=USD","Period=FQ","BEST_FPERIOD_OVERRIDE=FQ","FILING_STATUS=OR","Sort=A","Dates=H","DateFormat=P","Fill=—","Direction=H","UseDPDF=Y")</f>
        <v>0.30149999999999999</v>
      </c>
      <c r="I23" s="14">
        <f>_xll.BDH("XOM US Equity","FREE_CASH_FLOW_PER_SH","FQ1 2000","FQ1 2000","Currency=USD","Period=FQ","BEST_FPERIOD_OVERRIDE=FQ","FILING_STATUS=OR","Sort=A","Dates=H","DateFormat=P","Fill=—","Direction=H","UseDPDF=Y")</f>
        <v>0.53490000000000004</v>
      </c>
      <c r="J23" s="14">
        <f>_xll.BDH("XOM US Equity","FREE_CASH_FLOW_PER_SH","FQ2 2000","FQ2 2000","Currency=USD","Period=FQ","BEST_FPERIOD_OVERRIDE=FQ","FILING_STATUS=OR","Sort=A","Dates=H","DateFormat=P","Fill=—","Direction=H","UseDPDF=Y")</f>
        <v>0.56479999999999997</v>
      </c>
      <c r="K23" s="14">
        <f>_xll.BDH("XOM US Equity","FREE_CASH_FLOW_PER_SH","FQ3 2000","FQ3 2000","Currency=USD","Period=FQ","BEST_FPERIOD_OVERRIDE=FQ","FILING_STATUS=OR","Sort=A","Dates=H","DateFormat=P","Fill=—","Direction=H","UseDPDF=Y")</f>
        <v>0.48459999999999998</v>
      </c>
      <c r="L23" s="14">
        <f>_xll.BDH("XOM US Equity","FREE_CASH_FLOW_PER_SH","FQ4 2000","FQ4 2000","Currency=USD","Period=FQ","BEST_FPERIOD_OVERRIDE=FQ","FILING_STATUS=OR","Sort=A","Dates=H","DateFormat=P","Fill=—","Direction=H","UseDPDF=Y")</f>
        <v>0.49940000000000001</v>
      </c>
      <c r="M23" s="14">
        <f>_xll.BDH("XOM US Equity","FREE_CASH_FLOW_PER_SH","FQ1 2001","FQ1 2001","Currency=USD","Period=FQ","BEST_FPERIOD_OVERRIDE=FQ","FILING_STATUS=OR","Sort=A","Dates=H","DateFormat=P","Fill=—","Direction=H","UseDPDF=Y")</f>
        <v>0.96950000000000003</v>
      </c>
      <c r="N23" s="14">
        <f>_xll.BDH("XOM US Equity","FREE_CASH_FLOW_PER_SH","FQ2 2001","FQ2 2001","Currency=USD","Period=FQ","BEST_FPERIOD_OVERRIDE=FQ","FILING_STATUS=OR","Sort=A","Dates=H","DateFormat=P","Fill=—","Direction=H","UseDPDF=Y")</f>
        <v>0.46100000000000002</v>
      </c>
      <c r="O23" s="14">
        <f>_xll.BDH("XOM US Equity","FREE_CASH_FLOW_PER_SH","FQ3 2001","FQ3 2001","Currency=USD","Period=FQ","BEST_FPERIOD_OVERRIDE=FQ","FILING_STATUS=OR","Sort=A","Dates=H","DateFormat=P","Fill=—","Direction=H","UseDPDF=Y")</f>
        <v>0.40310000000000001</v>
      </c>
      <c r="P23" s="14">
        <f>_xll.BDH("XOM US Equity","FREE_CASH_FLOW_PER_SH","FQ4 2001","FQ4 2001","Currency=USD","Period=FQ","BEST_FPERIOD_OVERRIDE=FQ","FILING_STATUS=OR","Sort=A","Dates=H","DateFormat=P","Fill=—","Direction=H","UseDPDF=Y")</f>
        <v>3.8699999999999998E-2</v>
      </c>
      <c r="Q23" s="14">
        <f>_xll.BDH("XOM US Equity","FREE_CASH_FLOW_PER_SH","FQ1 2002","FQ1 2002","Currency=USD","Period=FQ","BEST_FPERIOD_OVERRIDE=FQ","FILING_STATUS=OR","Sort=A","Dates=H","DateFormat=P","Fill=—","Direction=H","UseDPDF=Y")</f>
        <v>0.3236</v>
      </c>
      <c r="R23" s="14">
        <f>_xll.BDH("XOM US Equity","FREE_CASH_FLOW_PER_SH","FQ2 2002","FQ2 2002","Currency=USD","Period=FQ","BEST_FPERIOD_OVERRIDE=FQ","FILING_STATUS=OR","Sort=A","Dates=H","DateFormat=P","Fill=—","Direction=H","UseDPDF=Y")</f>
        <v>0.189</v>
      </c>
      <c r="S23" s="14">
        <f>_xll.BDH("XOM US Equity","FREE_CASH_FLOW_PER_SH","FQ3 2002","FQ3 2002","Currency=USD","Period=FQ","BEST_FPERIOD_OVERRIDE=FQ","FILING_STATUS=OR","Sort=A","Dates=H","DateFormat=P","Fill=—","Direction=H","UseDPDF=Y")</f>
        <v>0.67730000000000001</v>
      </c>
      <c r="T23" s="14">
        <f>_xll.BDH("XOM US Equity","FREE_CASH_FLOW_PER_SH","FQ4 2002","FQ4 2002","Currency=USD","Period=FQ","BEST_FPERIOD_OVERRIDE=FQ","FILING_STATUS=OR","Sort=A","Dates=H","DateFormat=P","Fill=—","Direction=H","UseDPDF=Y")</f>
        <v>0.26650000000000001</v>
      </c>
      <c r="U23" s="14">
        <f>_xll.BDH("XOM US Equity","FREE_CASH_FLOW_PER_SH","FQ1 2003","FQ1 2003","Currency=USD","Period=FQ","BEST_FPERIOD_OVERRIDE=FQ","FILING_STATUS=OR","Sort=A","Dates=H","DateFormat=P","Fill=—","Direction=H","UseDPDF=Y")</f>
        <v>0.85409999999999997</v>
      </c>
      <c r="V23" s="14">
        <f>_xll.BDH("XOM US Equity","FREE_CASH_FLOW_PER_SH","FQ2 2003","FQ2 2003","Currency=USD","Period=FQ","BEST_FPERIOD_OVERRIDE=FQ","FILING_STATUS=OR","Sort=A","Dates=H","DateFormat=P","Fill=—","Direction=H","UseDPDF=Y")</f>
        <v>0.60940000000000005</v>
      </c>
      <c r="W23" s="14">
        <f>_xll.BDH("XOM US Equity","FREE_CASH_FLOW_PER_SH","FQ3 2003","FQ3 2003","Currency=USD","Period=FQ","BEST_FPERIOD_OVERRIDE=FQ","FILING_STATUS=OR","Sort=A","Dates=H","DateFormat=P","Fill=—","Direction=H","UseDPDF=Y")</f>
        <v>0.39750000000000002</v>
      </c>
      <c r="X23" s="14">
        <f>_xll.BDH("XOM US Equity","FREE_CASH_FLOW_PER_SH","FQ4 2003","FQ4 2003","Currency=USD","Period=FQ","BEST_FPERIOD_OVERRIDE=FQ","FILING_STATUS=OR","Sort=A","Dates=H","DateFormat=P","Fill=—","Direction=H","UseDPDF=Y")</f>
        <v>0.49320000000000003</v>
      </c>
      <c r="Y23" s="14">
        <f>_xll.BDH("XOM US Equity","FREE_CASH_FLOW_PER_SH","FQ1 2004","FQ1 2004","Currency=USD","Period=FQ","BEST_FPERIOD_OVERRIDE=FQ","FILING_STATUS=OR","Sort=A","Dates=H","DateFormat=P","Fill=—","Direction=H","UseDPDF=Y")</f>
        <v>1.1197999999999999</v>
      </c>
      <c r="Z23" s="14">
        <f>_xll.BDH("XOM US Equity","FREE_CASH_FLOW_PER_SH","FQ2 2004","FQ2 2004","Currency=USD","Period=FQ","BEST_FPERIOD_OVERRIDE=FQ","FILING_STATUS=OR","Sort=A","Dates=H","DateFormat=P","Fill=—","Direction=H","UseDPDF=Y")</f>
        <v>0.87919999999999998</v>
      </c>
      <c r="AA23" s="14">
        <f>_xll.BDH("XOM US Equity","FREE_CASH_FLOW_PER_SH","FQ3 2004","FQ3 2004","Currency=USD","Period=FQ","BEST_FPERIOD_OVERRIDE=FQ","FILING_STATUS=OR","Sort=A","Dates=H","DateFormat=P","Fill=—","Direction=H","UseDPDF=Y")</f>
        <v>1.0235000000000001</v>
      </c>
      <c r="AB23" s="14">
        <f>_xll.BDH("XOM US Equity","FREE_CASH_FLOW_PER_SH","FQ4 2004","FQ4 2004","Currency=USD","Period=FQ","BEST_FPERIOD_OVERRIDE=FQ","FILING_STATUS=OR","Sort=A","Dates=H","DateFormat=P","Fill=—","Direction=H","UseDPDF=Y")</f>
        <v>1.3884000000000001</v>
      </c>
      <c r="AC23" s="14">
        <f>_xll.BDH("XOM US Equity","FREE_CASH_FLOW_PER_SH","FQ1 2005","FQ1 2005","Currency=USD","Period=FQ","BEST_FPERIOD_OVERRIDE=FQ","FILING_STATUS=OR","Sort=A","Dates=H","DateFormat=P","Fill=—","Direction=H","UseDPDF=Y")</f>
        <v>1.6112</v>
      </c>
      <c r="AD23" s="14">
        <f>_xll.BDH("XOM US Equity","FREE_CASH_FLOW_PER_SH","FQ2 2005","FQ2 2005","Currency=USD","Period=FQ","BEST_FPERIOD_OVERRIDE=FQ","FILING_STATUS=OR","Sort=A","Dates=H","DateFormat=P","Fill=—","Direction=H","UseDPDF=Y")</f>
        <v>0.83650000000000002</v>
      </c>
      <c r="AE23" s="14">
        <f>_xll.BDH("XOM US Equity","FREE_CASH_FLOW_PER_SH","FQ3 2005","FQ3 2005","Currency=USD","Period=FQ","BEST_FPERIOD_OVERRIDE=FQ","FILING_STATUS=OR","Sort=A","Dates=H","DateFormat=P","Fill=—","Direction=H","UseDPDF=Y")</f>
        <v>1.9668000000000001</v>
      </c>
      <c r="AF23" s="14">
        <f>_xll.BDH("XOM US Equity","FREE_CASH_FLOW_PER_SH","FQ4 2005","FQ4 2005","Currency=USD","Period=FQ","BEST_FPERIOD_OVERRIDE=FQ","FILING_STATUS=OR","Sort=A","Dates=H","DateFormat=P","Fill=—","Direction=H","UseDPDF=Y")</f>
        <v>1.0426</v>
      </c>
      <c r="AG23" s="14">
        <f>_xll.BDH("XOM US Equity","FREE_CASH_FLOW_PER_SH","FQ1 2006","FQ1 2006","Currency=USD","Period=FQ","BEST_FPERIOD_OVERRIDE=FQ","FILING_STATUS=OR","Sort=A","Dates=H","DateFormat=P","Fill=—","Direction=H","UseDPDF=Y")</f>
        <v>1.7965</v>
      </c>
      <c r="AH23" s="14">
        <f>_xll.BDH("XOM US Equity","FREE_CASH_FLOW_PER_SH","FQ2 2006","FQ2 2006","Currency=USD","Period=FQ","BEST_FPERIOD_OVERRIDE=FQ","FILING_STATUS=OR","Sort=A","Dates=H","DateFormat=P","Fill=—","Direction=H","UseDPDF=Y")</f>
        <v>1.18</v>
      </c>
      <c r="AI23" s="14">
        <f>_xll.BDH("XOM US Equity","FREE_CASH_FLOW_PER_SH","FQ3 2006","FQ3 2006","Currency=USD","Period=FQ","BEST_FPERIOD_OVERRIDE=FQ","FILING_STATUS=OR","Sort=A","Dates=H","DateFormat=P","Fill=—","Direction=H","UseDPDF=Y")</f>
        <v>1.8395999999999999</v>
      </c>
      <c r="AJ23" s="14">
        <f>_xll.BDH("XOM US Equity","FREE_CASH_FLOW_PER_SH","FQ4 2006","FQ4 2006","Currency=USD","Period=FQ","BEST_FPERIOD_OVERRIDE=FQ","FILING_STATUS=OR","Sort=A","Dates=H","DateFormat=P","Fill=—","Direction=H","UseDPDF=Y")</f>
        <v>0.87980000000000003</v>
      </c>
      <c r="AK23" s="14">
        <f>_xll.BDH("XOM US Equity","FREE_CASH_FLOW_PER_SH","FQ1 2007","FQ1 2007","Currency=USD","Period=FQ","BEST_FPERIOD_OVERRIDE=FQ","FILING_STATUS=OR","Sort=A","Dates=H","DateFormat=P","Fill=—","Direction=H","UseDPDF=Y")</f>
        <v>1.9788000000000001</v>
      </c>
      <c r="AL23" s="14">
        <f>_xll.BDH("XOM US Equity","FREE_CASH_FLOW_PER_SH","FQ2 2007","FQ2 2007","Currency=USD","Period=FQ","BEST_FPERIOD_OVERRIDE=FQ","FILING_STATUS=OR","Sort=A","Dates=H","DateFormat=P","Fill=—","Direction=H","UseDPDF=Y")</f>
        <v>1.3559000000000001</v>
      </c>
      <c r="AM23" s="14">
        <f>_xll.BDH("XOM US Equity","FREE_CASH_FLOW_PER_SH","FQ3 2007","FQ3 2007","Currency=USD","Period=FQ","BEST_FPERIOD_OVERRIDE=FQ","FILING_STATUS=OR","Sort=A","Dates=H","DateFormat=P","Fill=—","Direction=H","UseDPDF=Y")</f>
        <v>2.0344000000000002</v>
      </c>
      <c r="AN23" s="14">
        <f>_xll.BDH("XOM US Equity","FREE_CASH_FLOW_PER_SH","FQ4 2007","FQ4 2007","Currency=USD","Period=FQ","BEST_FPERIOD_OVERRIDE=FQ","FILING_STATUS=OR","Sort=A","Dates=H","DateFormat=P","Fill=—","Direction=H","UseDPDF=Y")</f>
        <v>1.2493000000000001</v>
      </c>
      <c r="AO23" s="14">
        <f>_xll.BDH("XOM US Equity","FREE_CASH_FLOW_PER_SH","FQ1 2008","FQ1 2008","Currency=USD","Period=FQ","BEST_FPERIOD_OVERRIDE=FQ","FILING_STATUS=OR","Sort=A","Dates=H","DateFormat=P","Fill=—","Direction=H","UseDPDF=Y")</f>
        <v>3.2900999999999998</v>
      </c>
      <c r="AP23" s="14">
        <f>_xll.BDH("XOM US Equity","FREE_CASH_FLOW_PER_SH","FQ2 2008","FQ2 2008","Currency=USD","Period=FQ","BEST_FPERIOD_OVERRIDE=FQ","FILING_STATUS=OR","Sort=A","Dates=H","DateFormat=P","Fill=—","Direction=H","UseDPDF=Y")</f>
        <v>1.6431</v>
      </c>
    </row>
    <row r="24" spans="1:42" x14ac:dyDescent="0.25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10" t="s">
        <v>2</v>
      </c>
      <c r="B25" s="10" t="s">
        <v>370</v>
      </c>
      <c r="C25" s="14">
        <f>_xll.BDH("XOM US Equity","CASH_ST_INVESTMENTS_PER_SH","FQ3 1998","FQ3 1998","Currency=USD","Period=FQ","BEST_FPERIOD_OVERRIDE=FQ","FILING_STATUS=OR","Sort=A","Dates=H","DateFormat=P","Fill=—","Direction=H","UseDPDF=Y")</f>
        <v>0.45429999999999998</v>
      </c>
      <c r="D25" s="14">
        <f>_xll.BDH("XOM US Equity","CASH_ST_INVESTMENTS_PER_SH","FQ4 1998","FQ4 1998","Currency=USD","Period=FQ","BEST_FPERIOD_OVERRIDE=FQ","FILING_STATUS=OR","Sort=A","Dates=H","DateFormat=P","Fill=—","Direction=H","UseDPDF=Y")</f>
        <v>0.3009</v>
      </c>
      <c r="E25" s="14">
        <f>_xll.BDH("XOM US Equity","CASH_ST_INVESTMENTS_PER_SH","FQ1 1999","FQ1 1999","Currency=USD","Period=FQ","BEST_FPERIOD_OVERRIDE=FQ","FILING_STATUS=OR","Sort=A","Dates=H","DateFormat=P","Fill=—","Direction=H","UseDPDF=Y")</f>
        <v>0.28939999999999999</v>
      </c>
      <c r="F25" s="14">
        <f>_xll.BDH("XOM US Equity","CASH_ST_INVESTMENTS_PER_SH","FQ2 1999","FQ2 1999","Currency=USD","Period=FQ","BEST_FPERIOD_OVERRIDE=FQ","FILING_STATUS=OR","Sort=A","Dates=H","DateFormat=P","Fill=—","Direction=H","UseDPDF=Y")</f>
        <v>0.27760000000000001</v>
      </c>
      <c r="G25" s="14">
        <f>_xll.BDH("XOM US Equity","CASH_ST_INVESTMENTS_PER_SH","FQ3 1999","FQ3 1999","Currency=USD","Period=FQ","BEST_FPERIOD_OVERRIDE=FQ","FILING_STATUS=OR","Sort=A","Dates=H","DateFormat=P","Fill=—","Direction=H","UseDPDF=Y")</f>
        <v>0.24510000000000001</v>
      </c>
      <c r="H25" s="14">
        <f>_xll.BDH("XOM US Equity","CASH_ST_INVESTMENTS_PER_SH","FQ4 1999","FQ4 1999","Currency=USD","Period=FQ","BEST_FPERIOD_OVERRIDE=FQ","FILING_STATUS=OR","Sort=A","Dates=H","DateFormat=P","Fill=—","Direction=H","UseDPDF=Y")</f>
        <v>0.25319999999999998</v>
      </c>
      <c r="I25" s="14">
        <f>_xll.BDH("XOM US Equity","CASH_ST_INVESTMENTS_PER_SH","FQ1 2000","FQ1 2000","Currency=USD","Period=FQ","BEST_FPERIOD_OVERRIDE=FQ","FILING_STATUS=OR","Sort=A","Dates=H","DateFormat=P","Fill=—","Direction=H","UseDPDF=Y")</f>
        <v>0.42870000000000003</v>
      </c>
      <c r="J25" s="14">
        <f>_xll.BDH("XOM US Equity","CASH_ST_INVESTMENTS_PER_SH","FQ2 2000","FQ2 2000","Currency=USD","Period=FQ","BEST_FPERIOD_OVERRIDE=FQ","FILING_STATUS=OR","Sort=A","Dates=H","DateFormat=P","Fill=—","Direction=H","UseDPDF=Y")</f>
        <v>0.84150000000000003</v>
      </c>
      <c r="K25" s="14">
        <f>_xll.BDH("XOM US Equity","CASH_ST_INVESTMENTS_PER_SH","FQ3 2000","FQ3 2000","Currency=USD","Period=FQ","BEST_FPERIOD_OVERRIDE=FQ","FILING_STATUS=OR","Sort=A","Dates=H","DateFormat=P","Fill=—","Direction=H","UseDPDF=Y")</f>
        <v>0.95599999999999996</v>
      </c>
      <c r="L25" s="14">
        <f>_xll.BDH("XOM US Equity","CASH_ST_INVESTMENTS_PER_SH","FQ4 2000","FQ4 2000","Currency=USD","Period=FQ","BEST_FPERIOD_OVERRIDE=FQ","FILING_STATUS=OR","Sort=A","Dates=H","DateFormat=P","Fill=—","Direction=H","UseDPDF=Y")</f>
        <v>1.0218</v>
      </c>
      <c r="M25" s="14">
        <f>_xll.BDH("XOM US Equity","CASH_ST_INVESTMENTS_PER_SH","FQ1 2001","FQ1 2001","Currency=USD","Period=FQ","BEST_FPERIOD_OVERRIDE=FQ","FILING_STATUS=OR","Sort=A","Dates=H","DateFormat=P","Fill=—","Direction=H","UseDPDF=Y")</f>
        <v>1.5806</v>
      </c>
      <c r="N25" s="14">
        <f>_xll.BDH("XOM US Equity","CASH_ST_INVESTMENTS_PER_SH","FQ2 2001","FQ2 2001","Currency=USD","Period=FQ","BEST_FPERIOD_OVERRIDE=FQ","FILING_STATUS=OR","Sort=A","Dates=H","DateFormat=P","Fill=—","Direction=H","UseDPDF=Y")</f>
        <v>1.3603000000000001</v>
      </c>
      <c r="O25" s="14">
        <f>_xll.BDH("XOM US Equity","CASH_ST_INVESTMENTS_PER_SH","FQ3 2001","FQ3 2001","Currency=USD","Period=FQ","BEST_FPERIOD_OVERRIDE=FQ","FILING_STATUS=OR","Sort=A","Dates=H","DateFormat=P","Fill=—","Direction=H","UseDPDF=Y")</f>
        <v>1.3195999999999999</v>
      </c>
      <c r="P25" s="14">
        <f>_xll.BDH("XOM US Equity","CASH_ST_INVESTMENTS_PER_SH","FQ4 2001","FQ4 2001","Currency=USD","Period=FQ","BEST_FPERIOD_OVERRIDE=FQ","FILING_STATUS=OR","Sort=A","Dates=H","DateFormat=P","Fill=—","Direction=H","UseDPDF=Y")</f>
        <v>0.96150000000000002</v>
      </c>
      <c r="Q25" s="14">
        <f>_xll.BDH("XOM US Equity","CASH_ST_INVESTMENTS_PER_SH","FQ1 2002","FQ1 2002","Currency=USD","Period=FQ","BEST_FPERIOD_OVERRIDE=FQ","FILING_STATUS=OR","Sort=A","Dates=H","DateFormat=P","Fill=—","Direction=H","UseDPDF=Y")</f>
        <v>0.97640000000000005</v>
      </c>
      <c r="R25" s="14">
        <f>_xll.BDH("XOM US Equity","CASH_ST_INVESTMENTS_PER_SH","FQ2 2002","FQ2 2002","Currency=USD","Period=FQ","BEST_FPERIOD_OVERRIDE=FQ","FILING_STATUS=OR","Sort=A","Dates=H","DateFormat=P","Fill=—","Direction=H","UseDPDF=Y")</f>
        <v>0.84360000000000002</v>
      </c>
      <c r="S25" s="14">
        <f>_xll.BDH("XOM US Equity","CASH_ST_INVESTMENTS_PER_SH","FQ3 2002","FQ3 2002","Currency=USD","Period=FQ","BEST_FPERIOD_OVERRIDE=FQ","FILING_STATUS=OR","Sort=A","Dates=H","DateFormat=P","Fill=—","Direction=H","UseDPDF=Y")</f>
        <v>1.0308999999999999</v>
      </c>
      <c r="T25" s="14">
        <f>_xll.BDH("XOM US Equity","CASH_ST_INVESTMENTS_PER_SH","FQ4 2002","FQ4 2002","Currency=USD","Period=FQ","BEST_FPERIOD_OVERRIDE=FQ","FILING_STATUS=OR","Sort=A","Dates=H","DateFormat=P","Fill=—","Direction=H","UseDPDF=Y")</f>
        <v>1.079</v>
      </c>
      <c r="U25" s="14">
        <f>_xll.BDH("XOM US Equity","CASH_ST_INVESTMENTS_PER_SH","FQ1 2003","FQ1 2003","Currency=USD","Period=FQ","BEST_FPERIOD_OVERRIDE=FQ","FILING_STATUS=OR","Sort=A","Dates=H","DateFormat=P","Fill=—","Direction=H","UseDPDF=Y")</f>
        <v>1.8456999999999999</v>
      </c>
      <c r="V25" s="14">
        <f>_xll.BDH("XOM US Equity","CASH_ST_INVESTMENTS_PER_SH","FQ2 2003","FQ2 2003","Currency=USD","Period=FQ","BEST_FPERIOD_OVERRIDE=FQ","FILING_STATUS=OR","Sort=A","Dates=H","DateFormat=P","Fill=—","Direction=H","UseDPDF=Y")</f>
        <v>1.8822999999999999</v>
      </c>
      <c r="W25" s="14">
        <f>_xll.BDH("XOM US Equity","CASH_ST_INVESTMENTS_PER_SH","FQ3 2003","FQ3 2003","Currency=USD","Period=FQ","BEST_FPERIOD_OVERRIDE=FQ","FILING_STATUS=OR","Sort=A","Dates=H","DateFormat=P","Fill=—","Direction=H","UseDPDF=Y")</f>
        <v>1.6667000000000001</v>
      </c>
      <c r="X25" s="14">
        <f>_xll.BDH("XOM US Equity","CASH_ST_INVESTMENTS_PER_SH","FQ4 2003","FQ4 2003","Currency=USD","Period=FQ","BEST_FPERIOD_OVERRIDE=FQ","FILING_STATUS=OR","Sort=A","Dates=H","DateFormat=P","Fill=—","Direction=H","UseDPDF=Y")</f>
        <v>1.6177999999999999</v>
      </c>
      <c r="Y25" s="14">
        <f>_xll.BDH("XOM US Equity","CASH_ST_INVESTMENTS_PER_SH","FQ1 2004","FQ1 2004","Currency=USD","Period=FQ","BEST_FPERIOD_OVERRIDE=FQ","FILING_STATUS=OR","Sort=A","Dates=H","DateFormat=P","Fill=—","Direction=H","UseDPDF=Y")</f>
        <v>2.4302999999999999</v>
      </c>
      <c r="Z25" s="14">
        <f>_xll.BDH("XOM US Equity","CASH_ST_INVESTMENTS_PER_SH","FQ2 2004","FQ2 2004","Currency=USD","Period=FQ","BEST_FPERIOD_OVERRIDE=FQ","FILING_STATUS=OR","Sort=A","Dates=H","DateFormat=P","Fill=—","Direction=H","UseDPDF=Y")</f>
        <v>2.1791999999999998</v>
      </c>
      <c r="AA25" s="14">
        <f>_xll.BDH("XOM US Equity","CASH_ST_INVESTMENTS_PER_SH","FQ3 2004","FQ3 2004","Currency=USD","Period=FQ","BEST_FPERIOD_OVERRIDE=FQ","FILING_STATUS=OR","Sort=A","Dates=H","DateFormat=P","Fill=—","Direction=H","UseDPDF=Y")</f>
        <v>2.4969000000000001</v>
      </c>
      <c r="AB25" s="14">
        <f>_xll.BDH("XOM US Equity","CASH_ST_INVESTMENTS_PER_SH","FQ4 2004","FQ4 2004","Currency=USD","Period=FQ","BEST_FPERIOD_OVERRIDE=FQ","FILING_STATUS=OR","Sort=A","Dates=H","DateFormat=P","Fill=—","Direction=H","UseDPDF=Y")</f>
        <v>2.895</v>
      </c>
      <c r="AC25" s="14">
        <f>_xll.BDH("XOM US Equity","CASH_ST_INVESTMENTS_PER_SH","FQ1 2005","FQ1 2005","Currency=USD","Period=FQ","BEST_FPERIOD_OVERRIDE=FQ","FILING_STATUS=OR","Sort=A","Dates=H","DateFormat=P","Fill=—","Direction=H","UseDPDF=Y")</f>
        <v>3.9531999999999998</v>
      </c>
      <c r="AD25" s="14">
        <f>_xll.BDH("XOM US Equity","CASH_ST_INVESTMENTS_PER_SH","FQ2 2005","FQ2 2005","Currency=USD","Period=FQ","BEST_FPERIOD_OVERRIDE=FQ","FILING_STATUS=OR","Sort=A","Dates=H","DateFormat=P","Fill=—","Direction=H","UseDPDF=Y")</f>
        <v>4.0678000000000001</v>
      </c>
      <c r="AE25" s="14">
        <f>_xll.BDH("XOM US Equity","CASH_ST_INVESTMENTS_PER_SH","FQ3 2005","FQ3 2005","Currency=USD","Period=FQ","BEST_FPERIOD_OVERRIDE=FQ","FILING_STATUS=OR","Sort=A","Dates=H","DateFormat=P","Fill=—","Direction=H","UseDPDF=Y")</f>
        <v>4.6992000000000003</v>
      </c>
      <c r="AF25" s="14">
        <f>_xll.BDH("XOM US Equity","CASH_ST_INVESTMENTS_PER_SH","FQ4 2005","FQ4 2005","Currency=USD","Period=FQ","BEST_FPERIOD_OVERRIDE=FQ","FILING_STATUS=OR","Sort=A","Dates=H","DateFormat=P","Fill=—","Direction=H","UseDPDF=Y")</f>
        <v>4.6749000000000001</v>
      </c>
      <c r="AG25" s="14">
        <f>_xll.BDH("XOM US Equity","CASH_ST_INVESTMENTS_PER_SH","FQ1 2006","FQ1 2006","Currency=USD","Period=FQ","BEST_FPERIOD_OVERRIDE=FQ","FILING_STATUS=OR","Sort=A","Dates=H","DateFormat=P","Fill=—","Direction=H","UseDPDF=Y")</f>
        <v>5.2801999999999998</v>
      </c>
      <c r="AH25" s="14">
        <f>_xll.BDH("XOM US Equity","CASH_ST_INVESTMENTS_PER_SH","FQ2 2006","FQ2 2006","Currency=USD","Period=FQ","BEST_FPERIOD_OVERRIDE=FQ","FILING_STATUS=OR","Sort=A","Dates=H","DateFormat=P","Fill=—","Direction=H","UseDPDF=Y")</f>
        <v>5.4016999999999999</v>
      </c>
      <c r="AI25" s="14">
        <f>_xll.BDH("XOM US Equity","CASH_ST_INVESTMENTS_PER_SH","FQ3 2006","FQ3 2006","Currency=USD","Period=FQ","BEST_FPERIOD_OVERRIDE=FQ","FILING_STATUS=OR","Sort=A","Dates=H","DateFormat=P","Fill=—","Direction=H","UseDPDF=Y")</f>
        <v>5.6128</v>
      </c>
      <c r="AJ25" s="14">
        <f>_xll.BDH("XOM US Equity","CASH_ST_INVESTMENTS_PER_SH","FQ4 2006","FQ4 2006","Currency=USD","Period=FQ","BEST_FPERIOD_OVERRIDE=FQ","FILING_STATUS=OR","Sort=A","Dates=H","DateFormat=P","Fill=—","Direction=H","UseDPDF=Y")</f>
        <v>4.93</v>
      </c>
      <c r="AK25" s="14">
        <f>_xll.BDH("XOM US Equity","CASH_ST_INVESTMENTS_PER_SH","FQ1 2007","FQ1 2007","Currency=USD","Period=FQ","BEST_FPERIOD_OVERRIDE=FQ","FILING_STATUS=OR","Sort=A","Dates=H","DateFormat=P","Fill=—","Direction=H","UseDPDF=Y")</f>
        <v>5.3247</v>
      </c>
      <c r="AL25" s="14">
        <f>_xll.BDH("XOM US Equity","CASH_ST_INVESTMENTS_PER_SH","FQ2 2007","FQ2 2007","Currency=USD","Period=FQ","BEST_FPERIOD_OVERRIDE=FQ","FILING_STATUS=OR","Sort=A","Dates=H","DateFormat=P","Fill=—","Direction=H","UseDPDF=Y")</f>
        <v>5.2215999999999996</v>
      </c>
      <c r="AM25" s="14">
        <f>_xll.BDH("XOM US Equity","CASH_ST_INVESTMENTS_PER_SH","FQ3 2007","FQ3 2007","Currency=USD","Period=FQ","BEST_FPERIOD_OVERRIDE=FQ","FILING_STATUS=OR","Sort=A","Dates=H","DateFormat=P","Fill=—","Direction=H","UseDPDF=Y")</f>
        <v>5.7866999999999997</v>
      </c>
      <c r="AN25" s="14">
        <f>_xll.BDH("XOM US Equity","CASH_ST_INVESTMENTS_PER_SH","FQ4 2007","FQ4 2007","Currency=USD","Period=FQ","BEST_FPERIOD_OVERRIDE=FQ","FILING_STATUS=OR","Sort=A","Dates=H","DateFormat=P","Fill=—","Direction=H","UseDPDF=Y")</f>
        <v>6.4103000000000003</v>
      </c>
      <c r="AO25" s="14">
        <f>_xll.BDH("XOM US Equity","CASH_ST_INVESTMENTS_PER_SH","FQ1 2008","FQ1 2008","Currency=USD","Period=FQ","BEST_FPERIOD_OVERRIDE=FQ","FILING_STATUS=OR","Sort=A","Dates=H","DateFormat=P","Fill=—","Direction=H","UseDPDF=Y")</f>
        <v>7.8350999999999997</v>
      </c>
      <c r="AP25" s="14">
        <f>_xll.BDH("XOM US Equity","CASH_ST_INVESTMENTS_PER_SH","FQ2 2008","FQ2 2008","Currency=USD","Period=FQ","BEST_FPERIOD_OVERRIDE=FQ","FILING_STATUS=OR","Sort=A","Dates=H","DateFormat=P","Fill=—","Direction=H","UseDPDF=Y")</f>
        <v>7.6433999999999997</v>
      </c>
    </row>
    <row r="26" spans="1:42" x14ac:dyDescent="0.25">
      <c r="A26" s="10" t="s">
        <v>371</v>
      </c>
      <c r="B26" s="10" t="s">
        <v>372</v>
      </c>
      <c r="C26" s="14">
        <f>_xll.BDH("XOM US Equity","BOOK_VAL_PER_SH","FQ3 1998","FQ3 1998","Currency=USD","Period=FQ","BEST_FPERIOD_OVERRIDE=FQ","FILING_STATUS=OR","Sort=A","Dates=H","DateFormat=P","Fill=—","Direction=H","UseDPDF=Y")</f>
        <v>9.0006000000000004</v>
      </c>
      <c r="D26" s="14">
        <f>_xll.BDH("XOM US Equity","BOOK_VAL_PER_SH","FQ4 1998","FQ4 1998","Currency=USD","Period=FQ","BEST_FPERIOD_OVERRIDE=FQ","FILING_STATUS=OR","Sort=A","Dates=H","DateFormat=P","Fill=—","Direction=H","UseDPDF=Y")</f>
        <v>8.9878999999999998</v>
      </c>
      <c r="E26" s="14">
        <f>_xll.BDH("XOM US Equity","BOOK_VAL_PER_SH","FQ1 1999","FQ1 1999","Currency=USD","Period=FQ","BEST_FPERIOD_OVERRIDE=FQ","FILING_STATUS=OR","Sort=A","Dates=H","DateFormat=P","Fill=—","Direction=H","UseDPDF=Y")</f>
        <v>8.8375000000000004</v>
      </c>
      <c r="F26" s="14">
        <f>_xll.BDH("XOM US Equity","BOOK_VAL_PER_SH","FQ2 1999","FQ2 1999","Currency=USD","Period=FQ","BEST_FPERIOD_OVERRIDE=FQ","FILING_STATUS=OR","Sort=A","Dates=H","DateFormat=P","Fill=—","Direction=H","UseDPDF=Y")</f>
        <v>8.8107000000000006</v>
      </c>
      <c r="G26" s="14">
        <f>_xll.BDH("XOM US Equity","BOOK_VAL_PER_SH","FQ3 1999","FQ3 1999","Currency=USD","Period=FQ","BEST_FPERIOD_OVERRIDE=FQ","FILING_STATUS=OR","Sort=A","Dates=H","DateFormat=P","Fill=—","Direction=H","UseDPDF=Y")</f>
        <v>9.0212000000000003</v>
      </c>
      <c r="H26" s="14">
        <f>_xll.BDH("XOM US Equity","BOOK_VAL_PER_SH","FQ4 1999","FQ4 1999","Currency=USD","Period=FQ","BEST_FPERIOD_OVERRIDE=FQ","FILING_STATUS=OR","Sort=A","Dates=H","DateFormat=P","Fill=—","Direction=H","UseDPDF=Y")</f>
        <v>9.1265000000000001</v>
      </c>
      <c r="I26" s="14">
        <f>_xll.BDH("XOM US Equity","BOOK_VAL_PER_SH","FQ1 2000","FQ1 2000","Currency=USD","Period=FQ","BEST_FPERIOD_OVERRIDE=FQ","FILING_STATUS=OR","Sort=A","Dates=H","DateFormat=P","Fill=—","Direction=H","UseDPDF=Y")</f>
        <v>9.2792999999999992</v>
      </c>
      <c r="J26" s="14">
        <f>_xll.BDH("XOM US Equity","BOOK_VAL_PER_SH","FQ2 2000","FQ2 2000","Currency=USD","Period=FQ","BEST_FPERIOD_OVERRIDE=FQ","FILING_STATUS=OR","Sort=A","Dates=H","DateFormat=P","Fill=—","Direction=H","UseDPDF=Y")</f>
        <v>9.6066000000000003</v>
      </c>
      <c r="K26" s="14">
        <f>_xll.BDH("XOM US Equity","BOOK_VAL_PER_SH","FQ3 2000","FQ3 2000","Currency=USD","Period=FQ","BEST_FPERIOD_OVERRIDE=FQ","FILING_STATUS=OR","Sort=A","Dates=H","DateFormat=P","Fill=—","Direction=H","UseDPDF=Y")</f>
        <v>9.7972999999999999</v>
      </c>
      <c r="L26" s="14">
        <f>_xll.BDH("XOM US Equity","BOOK_VAL_PER_SH","FQ4 2000","FQ4 2000","Currency=USD","Period=FQ","BEST_FPERIOD_OVERRIDE=FQ","FILING_STATUS=OR","Sort=A","Dates=H","DateFormat=P","Fill=—","Direction=H","UseDPDF=Y")</f>
        <v>10.2102</v>
      </c>
      <c r="M26" s="14">
        <f>_xll.BDH("XOM US Equity","BOOK_VAL_PER_SH","FQ1 2001","FQ1 2001","Currency=USD","Period=FQ","BEST_FPERIOD_OVERRIDE=FQ","FILING_STATUS=OR","Sort=A","Dates=H","DateFormat=P","Fill=—","Direction=H","UseDPDF=Y")</f>
        <v>10.418699999999999</v>
      </c>
      <c r="N26" s="14">
        <f>_xll.BDH("XOM US Equity","BOOK_VAL_PER_SH","FQ2 2001","FQ2 2001","Currency=USD","Period=FQ","BEST_FPERIOD_OVERRIDE=FQ","FILING_STATUS=OR","Sort=A","Dates=H","DateFormat=P","Fill=—","Direction=H","UseDPDF=Y")</f>
        <v>10.676399999999999</v>
      </c>
      <c r="O26" s="14">
        <f>_xll.BDH("XOM US Equity","BOOK_VAL_PER_SH","FQ3 2001","FQ3 2001","Currency=USD","Period=FQ","BEST_FPERIOD_OVERRIDE=FQ","FILING_STATUS=OR","Sort=A","Dates=H","DateFormat=P","Fill=—","Direction=H","UseDPDF=Y")</f>
        <v>10.793100000000001</v>
      </c>
      <c r="P26" s="14">
        <f>_xll.BDH("XOM US Equity","BOOK_VAL_PER_SH","FQ4 2001","FQ4 2001","Currency=USD","Period=FQ","BEST_FPERIOD_OVERRIDE=FQ","FILING_STATUS=OR","Sort=A","Dates=H","DateFormat=P","Fill=—","Direction=H","UseDPDF=Y")</f>
        <v>10.7447</v>
      </c>
      <c r="Q26" s="14">
        <f>_xll.BDH("XOM US Equity","BOOK_VAL_PER_SH","FQ1 2002","FQ1 2002","Currency=USD","Period=FQ","BEST_FPERIOD_OVERRIDE=FQ","FILING_STATUS=OR","Sort=A","Dates=H","DateFormat=P","Fill=—","Direction=H","UseDPDF=Y")</f>
        <v>10.670500000000001</v>
      </c>
      <c r="R26" s="14">
        <f>_xll.BDH("XOM US Equity","BOOK_VAL_PER_SH","FQ2 2002","FQ2 2002","Currency=USD","Period=FQ","BEST_FPERIOD_OVERRIDE=FQ","FILING_STATUS=OR","Sort=A","Dates=H","DateFormat=P","Fill=—","Direction=H","UseDPDF=Y")</f>
        <v>11.117100000000001</v>
      </c>
      <c r="S26" s="14">
        <f>_xll.BDH("XOM US Equity","BOOK_VAL_PER_SH","FQ3 2002","FQ3 2002","Currency=USD","Period=FQ","BEST_FPERIOD_OVERRIDE=FQ","FILING_STATUS=OR","Sort=A","Dates=H","DateFormat=P","Fill=—","Direction=H","UseDPDF=Y")</f>
        <v>11.0997</v>
      </c>
      <c r="T26" s="14">
        <f>_xll.BDH("XOM US Equity","BOOK_VAL_PER_SH","FQ4 2002","FQ4 2002","Currency=USD","Period=FQ","BEST_FPERIOD_OVERRIDE=FQ","FILING_STATUS=OR","Sort=A","Dates=H","DateFormat=P","Fill=—","Direction=H","UseDPDF=Y")</f>
        <v>11.133900000000001</v>
      </c>
      <c r="U26" s="14">
        <f>_xll.BDH("XOM US Equity","BOOK_VAL_PER_SH","FQ1 2003","FQ1 2003","Currency=USD","Period=FQ","BEST_FPERIOD_OVERRIDE=FQ","FILING_STATUS=OR","Sort=A","Dates=H","DateFormat=P","Fill=—","Direction=H","UseDPDF=Y")</f>
        <v>11.914999999999999</v>
      </c>
      <c r="V26" s="14">
        <f>_xll.BDH("XOM US Equity","BOOK_VAL_PER_SH","FQ2 2003","FQ2 2003","Currency=USD","Period=FQ","BEST_FPERIOD_OVERRIDE=FQ","FILING_STATUS=OR","Sort=A","Dates=H","DateFormat=P","Fill=—","Direction=H","UseDPDF=Y")</f>
        <v>12.4145</v>
      </c>
      <c r="W26" s="14">
        <f>_xll.BDH("XOM US Equity","BOOK_VAL_PER_SH","FQ3 2003","FQ3 2003","Currency=USD","Period=FQ","BEST_FPERIOD_OVERRIDE=FQ","FILING_STATUS=OR","Sort=A","Dates=H","DateFormat=P","Fill=—","Direction=H","UseDPDF=Y")</f>
        <v>12.674200000000001</v>
      </c>
      <c r="X26" s="14">
        <f>_xll.BDH("XOM US Equity","BOOK_VAL_PER_SH","FQ4 2003","FQ4 2003","Currency=USD","Period=FQ","BEST_FPERIOD_OVERRIDE=FQ","FILING_STATUS=OR","Sort=A","Dates=H","DateFormat=P","Fill=—","Direction=H","UseDPDF=Y")</f>
        <v>13.6899</v>
      </c>
      <c r="Y26" s="14">
        <f>_xll.BDH("XOM US Equity","BOOK_VAL_PER_SH","FQ1 2004","FQ1 2004","Currency=USD","Period=FQ","BEST_FPERIOD_OVERRIDE=FQ","FILING_STATUS=OR","Sort=A","Dates=H","DateFormat=P","Fill=—","Direction=H","UseDPDF=Y")</f>
        <v>14.0184</v>
      </c>
      <c r="Z26" s="14">
        <f>_xll.BDH("XOM US Equity","BOOK_VAL_PER_SH","FQ2 2004","FQ2 2004","Currency=USD","Period=FQ","BEST_FPERIOD_OVERRIDE=FQ","FILING_STATUS=OR","Sort=A","Dates=H","DateFormat=P","Fill=—","Direction=H","UseDPDF=Y")</f>
        <v>14.377800000000001</v>
      </c>
      <c r="AA26" s="14">
        <f>_xll.BDH("XOM US Equity","BOOK_VAL_PER_SH","FQ3 2004","FQ3 2004","Currency=USD","Period=FQ","BEST_FPERIOD_OVERRIDE=FQ","FILING_STATUS=OR","Sort=A","Dates=H","DateFormat=P","Fill=—","Direction=H","UseDPDF=Y")</f>
        <v>14.7942</v>
      </c>
      <c r="AB26" s="14">
        <f>_xll.BDH("XOM US Equity","BOOK_VAL_PER_SH","FQ4 2004","FQ4 2004","Currency=USD","Period=FQ","BEST_FPERIOD_OVERRIDE=FQ","FILING_STATUS=OR","Sort=A","Dates=H","DateFormat=P","Fill=—","Direction=H","UseDPDF=Y")</f>
        <v>15.8969</v>
      </c>
      <c r="AC26" s="14">
        <f>_xll.BDH("XOM US Equity","BOOK_VAL_PER_SH","FQ1 2005","FQ1 2005","Currency=USD","Period=FQ","BEST_FPERIOD_OVERRIDE=FQ","FILING_STATUS=OR","Sort=A","Dates=H","DateFormat=P","Fill=—","Direction=H","UseDPDF=Y")</f>
        <v>16.29</v>
      </c>
      <c r="AD26" s="14">
        <f>_xll.BDH("XOM US Equity","BOOK_VAL_PER_SH","FQ2 2005","FQ2 2005","Currency=USD","Period=FQ","BEST_FPERIOD_OVERRIDE=FQ","FILING_STATUS=OR","Sort=A","Dates=H","DateFormat=P","Fill=—","Direction=H","UseDPDF=Y")</f>
        <v>16.588999999999999</v>
      </c>
      <c r="AE26" s="14">
        <f>_xll.BDH("XOM US Equity","BOOK_VAL_PER_SH","FQ3 2005","FQ3 2005","Currency=USD","Period=FQ","BEST_FPERIOD_OVERRIDE=FQ","FILING_STATUS=OR","Sort=A","Dates=H","DateFormat=P","Fill=—","Direction=H","UseDPDF=Y")</f>
        <v>17.338999999999999</v>
      </c>
      <c r="AF26" s="14">
        <f>_xll.BDH("XOM US Equity","BOOK_VAL_PER_SH","FQ4 2005","FQ4 2005","Currency=USD","Period=FQ","BEST_FPERIOD_OVERRIDE=FQ","FILING_STATUS=OR","Sort=A","Dates=H","DateFormat=P","Fill=—","Direction=H","UseDPDF=Y")</f>
        <v>18.129100000000001</v>
      </c>
      <c r="AG26" s="14">
        <f>_xll.BDH("XOM US Equity","BOOK_VAL_PER_SH","FQ1 2006","FQ1 2006","Currency=USD","Period=FQ","BEST_FPERIOD_OVERRIDE=FQ","FILING_STATUS=OR","Sort=A","Dates=H","DateFormat=P","Fill=—","Direction=H","UseDPDF=Y")</f>
        <v>18.588899999999999</v>
      </c>
      <c r="AH26" s="14">
        <f>_xll.BDH("XOM US Equity","BOOK_VAL_PER_SH","FQ2 2006","FQ2 2006","Currency=USD","Period=FQ","BEST_FPERIOD_OVERRIDE=FQ","FILING_STATUS=OR","Sort=A","Dates=H","DateFormat=P","Fill=—","Direction=H","UseDPDF=Y")</f>
        <v>19.4725</v>
      </c>
      <c r="AI26" s="14">
        <f>_xll.BDH("XOM US Equity","BOOK_VAL_PER_SH","FQ3 2006","FQ3 2006","Currency=USD","Period=FQ","BEST_FPERIOD_OVERRIDE=FQ","FILING_STATUS=OR","Sort=A","Dates=H","DateFormat=P","Fill=—","Direction=H","UseDPDF=Y")</f>
        <v>19.991900000000001</v>
      </c>
      <c r="AJ26" s="14">
        <f>_xll.BDH("XOM US Equity","BOOK_VAL_PER_SH","FQ4 2006","FQ4 2006","Currency=USD","Period=FQ","BEST_FPERIOD_OVERRIDE=FQ","FILING_STATUS=OR","Sort=A","Dates=H","DateFormat=P","Fill=—","Direction=H","UseDPDF=Y")</f>
        <v>19.871500000000001</v>
      </c>
      <c r="AK26" s="14">
        <f>_xll.BDH("XOM US Equity","BOOK_VAL_PER_SH","FQ1 2007","FQ1 2007","Currency=USD","Period=FQ","BEST_FPERIOD_OVERRIDE=FQ","FILING_STATUS=OR","Sort=A","Dates=H","DateFormat=P","Fill=—","Direction=H","UseDPDF=Y")</f>
        <v>20.257400000000001</v>
      </c>
      <c r="AL26" s="14">
        <f>_xll.BDH("XOM US Equity","BOOK_VAL_PER_SH","FQ2 2007","FQ2 2007","Currency=USD","Period=FQ","BEST_FPERIOD_OVERRIDE=FQ","FILING_STATUS=OR","Sort=A","Dates=H","DateFormat=P","Fill=—","Direction=H","UseDPDF=Y")</f>
        <v>20.979099999999999</v>
      </c>
      <c r="AM26" s="14">
        <f>_xll.BDH("XOM US Equity","BOOK_VAL_PER_SH","FQ3 2007","FQ3 2007","Currency=USD","Period=FQ","BEST_FPERIOD_OVERRIDE=FQ","FILING_STATUS=OR","Sort=A","Dates=H","DateFormat=P","Fill=—","Direction=H","UseDPDF=Y")</f>
        <v>21.7102</v>
      </c>
      <c r="AN26" s="14">
        <f>_xll.BDH("XOM US Equity","BOOK_VAL_PER_SH","FQ4 2007","FQ4 2007","Currency=USD","Period=FQ","BEST_FPERIOD_OVERRIDE=FQ","FILING_STATUS=OR","Sort=A","Dates=H","DateFormat=P","Fill=—","Direction=H","UseDPDF=Y")</f>
        <v>22.623899999999999</v>
      </c>
      <c r="AO26" s="14">
        <f>_xll.BDH("XOM US Equity","BOOK_VAL_PER_SH","FQ1 2008","FQ1 2008","Currency=USD","Period=FQ","BEST_FPERIOD_OVERRIDE=FQ","FILING_STATUS=OR","Sort=A","Dates=H","DateFormat=P","Fill=—","Direction=H","UseDPDF=Y")</f>
        <v>23.308499999999999</v>
      </c>
      <c r="AP26" s="14">
        <f>_xll.BDH("XOM US Equity","BOOK_VAL_PER_SH","FQ2 2008","FQ2 2008","Currency=USD","Period=FQ","BEST_FPERIOD_OVERRIDE=FQ","FILING_STATUS=OR","Sort=A","Dates=H","DateFormat=P","Fill=—","Direction=H","UseDPDF=Y")</f>
        <v>24.032699999999998</v>
      </c>
    </row>
    <row r="27" spans="1:42" x14ac:dyDescent="0.25">
      <c r="A27" s="10" t="s">
        <v>373</v>
      </c>
      <c r="B27" s="10" t="s">
        <v>374</v>
      </c>
      <c r="C27" s="14" t="str">
        <f>_xll.BDH("XOM US Equity","TANG_BOOK_VAL_PER_SH","FQ3 1998","FQ3 1998","Currency=USD","Period=FQ","BEST_FPERIOD_OVERRIDE=FQ","FILING_STATUS=OR","Sort=A","Dates=H","DateFormat=P","Fill=—","Direction=H","UseDPDF=Y")</f>
        <v>—</v>
      </c>
      <c r="D27" s="14" t="str">
        <f>_xll.BDH("XOM US Equity","TANG_BOOK_VAL_PER_SH","FQ4 1998","FQ4 1998","Currency=USD","Period=FQ","BEST_FPERIOD_OVERRIDE=FQ","FILING_STATUS=OR","Sort=A","Dates=H","DateFormat=P","Fill=—","Direction=H","UseDPDF=Y")</f>
        <v>—</v>
      </c>
      <c r="E27" s="14">
        <f>_xll.BDH("XOM US Equity","TANG_BOOK_VAL_PER_SH","FQ1 1999","FQ1 1999","Currency=USD","Period=FQ","BEST_FPERIOD_OVERRIDE=FQ","FILING_STATUS=OR","Sort=A","Dates=H","DateFormat=P","Fill=—","Direction=H","UseDPDF=Y")</f>
        <v>8.8375000000000004</v>
      </c>
      <c r="F27" s="14">
        <f>_xll.BDH("XOM US Equity","TANG_BOOK_VAL_PER_SH","FQ2 1999","FQ2 1999","Currency=USD","Period=FQ","BEST_FPERIOD_OVERRIDE=FQ","FILING_STATUS=OR","Sort=A","Dates=H","DateFormat=P","Fill=—","Direction=H","UseDPDF=Y")</f>
        <v>8.8107000000000006</v>
      </c>
      <c r="G27" s="14">
        <f>_xll.BDH("XOM US Equity","TANG_BOOK_VAL_PER_SH","FQ3 1999","FQ3 1999","Currency=USD","Period=FQ","BEST_FPERIOD_OVERRIDE=FQ","FILING_STATUS=OR","Sort=A","Dates=H","DateFormat=P","Fill=—","Direction=H","UseDPDF=Y")</f>
        <v>9.0212000000000003</v>
      </c>
      <c r="H27" s="14" t="str">
        <f>_xll.BDH("XOM US Equity","TANG_BOOK_VAL_PER_SH","FQ4 1999","FQ4 1999","Currency=USD","Period=FQ","BEST_FPERIOD_OVERRIDE=FQ","FILING_STATUS=OR","Sort=A","Dates=H","DateFormat=P","Fill=—","Direction=H","UseDPDF=Y")</f>
        <v>—</v>
      </c>
      <c r="I27" s="14">
        <f>_xll.BDH("XOM US Equity","TANG_BOOK_VAL_PER_SH","FQ1 2000","FQ1 2000","Currency=USD","Period=FQ","BEST_FPERIOD_OVERRIDE=FQ","FILING_STATUS=OR","Sort=A","Dates=H","DateFormat=P","Fill=—","Direction=H","UseDPDF=Y")</f>
        <v>9.2792999999999992</v>
      </c>
      <c r="J27" s="14">
        <f>_xll.BDH("XOM US Equity","TANG_BOOK_VAL_PER_SH","FQ2 2000","FQ2 2000","Currency=USD","Period=FQ","BEST_FPERIOD_OVERRIDE=FQ","FILING_STATUS=OR","Sort=A","Dates=H","DateFormat=P","Fill=—","Direction=H","UseDPDF=Y")</f>
        <v>9.6066000000000003</v>
      </c>
      <c r="K27" s="14">
        <f>_xll.BDH("XOM US Equity","TANG_BOOK_VAL_PER_SH","FQ3 2000","FQ3 2000","Currency=USD","Period=FQ","BEST_FPERIOD_OVERRIDE=FQ","FILING_STATUS=OR","Sort=A","Dates=H","DateFormat=P","Fill=—","Direction=H","UseDPDF=Y")</f>
        <v>9.7972999999999999</v>
      </c>
      <c r="L27" s="14">
        <f>_xll.BDH("XOM US Equity","TANG_BOOK_VAL_PER_SH","FQ4 2000","FQ4 2000","Currency=USD","Period=FQ","BEST_FPERIOD_OVERRIDE=FQ","FILING_STATUS=OR","Sort=A","Dates=H","DateFormat=P","Fill=—","Direction=H","UseDPDF=Y")</f>
        <v>10.2102</v>
      </c>
      <c r="M27" s="14" t="str">
        <f>_xll.BDH("XOM US Equity","TANG_BOOK_VAL_PER_SH","FQ1 2001","FQ1 2001","Currency=USD","Period=FQ","BEST_FPERIOD_OVERRIDE=FQ","FILING_STATUS=OR","Sort=A","Dates=H","DateFormat=P","Fill=—","Direction=H","UseDPDF=Y")</f>
        <v>—</v>
      </c>
      <c r="N27" s="14">
        <f>_xll.BDH("XOM US Equity","TANG_BOOK_VAL_PER_SH","FQ2 2001","FQ2 2001","Currency=USD","Period=FQ","BEST_FPERIOD_OVERRIDE=FQ","FILING_STATUS=OR","Sort=A","Dates=H","DateFormat=P","Fill=—","Direction=H","UseDPDF=Y")</f>
        <v>10.676399999999999</v>
      </c>
      <c r="O27" s="14">
        <f>_xll.BDH("XOM US Equity","TANG_BOOK_VAL_PER_SH","FQ3 2001","FQ3 2001","Currency=USD","Period=FQ","BEST_FPERIOD_OVERRIDE=FQ","FILING_STATUS=OR","Sort=A","Dates=H","DateFormat=P","Fill=—","Direction=H","UseDPDF=Y")</f>
        <v>10.793100000000001</v>
      </c>
      <c r="P27" s="14">
        <f>_xll.BDH("XOM US Equity","TANG_BOOK_VAL_PER_SH","FQ4 2001","FQ4 2001","Currency=USD","Period=FQ","BEST_FPERIOD_OVERRIDE=FQ","FILING_STATUS=OR","Sort=A","Dates=H","DateFormat=P","Fill=—","Direction=H","UseDPDF=Y")</f>
        <v>10.7447</v>
      </c>
      <c r="Q27" s="14">
        <f>_xll.BDH("XOM US Equity","TANG_BOOK_VAL_PER_SH","FQ1 2002","FQ1 2002","Currency=USD","Period=FQ","BEST_FPERIOD_OVERRIDE=FQ","FILING_STATUS=OR","Sort=A","Dates=H","DateFormat=P","Fill=—","Direction=H","UseDPDF=Y")</f>
        <v>10.670500000000001</v>
      </c>
      <c r="R27" s="14">
        <f>_xll.BDH("XOM US Equity","TANG_BOOK_VAL_PER_SH","FQ2 2002","FQ2 2002","Currency=USD","Period=FQ","BEST_FPERIOD_OVERRIDE=FQ","FILING_STATUS=OR","Sort=A","Dates=H","DateFormat=P","Fill=—","Direction=H","UseDPDF=Y")</f>
        <v>11.117100000000001</v>
      </c>
      <c r="S27" s="14">
        <f>_xll.BDH("XOM US Equity","TANG_BOOK_VAL_PER_SH","FQ3 2002","FQ3 2002","Currency=USD","Period=FQ","BEST_FPERIOD_OVERRIDE=FQ","FILING_STATUS=OR","Sort=A","Dates=H","DateFormat=P","Fill=—","Direction=H","UseDPDF=Y")</f>
        <v>11.0997</v>
      </c>
      <c r="T27" s="14">
        <f>_xll.BDH("XOM US Equity","TANG_BOOK_VAL_PER_SH","FQ4 2002","FQ4 2002","Currency=USD","Period=FQ","BEST_FPERIOD_OVERRIDE=FQ","FILING_STATUS=OR","Sort=A","Dates=H","DateFormat=P","Fill=—","Direction=H","UseDPDF=Y")</f>
        <v>11.133900000000001</v>
      </c>
      <c r="U27" s="14">
        <f>_xll.BDH("XOM US Equity","TANG_BOOK_VAL_PER_SH","FQ1 2003","FQ1 2003","Currency=USD","Period=FQ","BEST_FPERIOD_OVERRIDE=FQ","FILING_STATUS=OR","Sort=A","Dates=H","DateFormat=P","Fill=—","Direction=H","UseDPDF=Y")</f>
        <v>11.914999999999999</v>
      </c>
      <c r="V27" s="14">
        <f>_xll.BDH("XOM US Equity","TANG_BOOK_VAL_PER_SH","FQ2 2003","FQ2 2003","Currency=USD","Period=FQ","BEST_FPERIOD_OVERRIDE=FQ","FILING_STATUS=OR","Sort=A","Dates=H","DateFormat=P","Fill=—","Direction=H","UseDPDF=Y")</f>
        <v>12.4145</v>
      </c>
      <c r="W27" s="14">
        <f>_xll.BDH("XOM US Equity","TANG_BOOK_VAL_PER_SH","FQ3 2003","FQ3 2003","Currency=USD","Period=FQ","BEST_FPERIOD_OVERRIDE=FQ","FILING_STATUS=OR","Sort=A","Dates=H","DateFormat=P","Fill=—","Direction=H","UseDPDF=Y")</f>
        <v>12.674200000000001</v>
      </c>
      <c r="X27" s="14">
        <f>_xll.BDH("XOM US Equity","TANG_BOOK_VAL_PER_SH","FQ4 2003","FQ4 2003","Currency=USD","Period=FQ","BEST_FPERIOD_OVERRIDE=FQ","FILING_STATUS=OR","Sort=A","Dates=H","DateFormat=P","Fill=—","Direction=H","UseDPDF=Y")</f>
        <v>13.6899</v>
      </c>
      <c r="Y27" s="14">
        <f>_xll.BDH("XOM US Equity","TANG_BOOK_VAL_PER_SH","FQ1 2004","FQ1 2004","Currency=USD","Period=FQ","BEST_FPERIOD_OVERRIDE=FQ","FILING_STATUS=OR","Sort=A","Dates=H","DateFormat=P","Fill=—","Direction=H","UseDPDF=Y")</f>
        <v>14.0184</v>
      </c>
      <c r="Z27" s="14">
        <f>_xll.BDH("XOM US Equity","TANG_BOOK_VAL_PER_SH","FQ2 2004","FQ2 2004","Currency=USD","Period=FQ","BEST_FPERIOD_OVERRIDE=FQ","FILING_STATUS=OR","Sort=A","Dates=H","DateFormat=P","Fill=—","Direction=H","UseDPDF=Y")</f>
        <v>14.377800000000001</v>
      </c>
      <c r="AA27" s="14">
        <f>_xll.BDH("XOM US Equity","TANG_BOOK_VAL_PER_SH","FQ3 2004","FQ3 2004","Currency=USD","Period=FQ","BEST_FPERIOD_OVERRIDE=FQ","FILING_STATUS=OR","Sort=A","Dates=H","DateFormat=P","Fill=—","Direction=H","UseDPDF=Y")</f>
        <v>14.7942</v>
      </c>
      <c r="AB27" s="14">
        <f>_xll.BDH("XOM US Equity","TANG_BOOK_VAL_PER_SH","FQ4 2004","FQ4 2004","Currency=USD","Period=FQ","BEST_FPERIOD_OVERRIDE=FQ","FILING_STATUS=OR","Sort=A","Dates=H","DateFormat=P","Fill=—","Direction=H","UseDPDF=Y")</f>
        <v>15.8969</v>
      </c>
      <c r="AC27" s="14">
        <f>_xll.BDH("XOM US Equity","TANG_BOOK_VAL_PER_SH","FQ1 2005","FQ1 2005","Currency=USD","Period=FQ","BEST_FPERIOD_OVERRIDE=FQ","FILING_STATUS=OR","Sort=A","Dates=H","DateFormat=P","Fill=—","Direction=H","UseDPDF=Y")</f>
        <v>16.29</v>
      </c>
      <c r="AD27" s="14">
        <f>_xll.BDH("XOM US Equity","TANG_BOOK_VAL_PER_SH","FQ2 2005","FQ2 2005","Currency=USD","Period=FQ","BEST_FPERIOD_OVERRIDE=FQ","FILING_STATUS=OR","Sort=A","Dates=H","DateFormat=P","Fill=—","Direction=H","UseDPDF=Y")</f>
        <v>16.588999999999999</v>
      </c>
      <c r="AE27" s="14">
        <f>_xll.BDH("XOM US Equity","TANG_BOOK_VAL_PER_SH","FQ3 2005","FQ3 2005","Currency=USD","Period=FQ","BEST_FPERIOD_OVERRIDE=FQ","FILING_STATUS=OR","Sort=A","Dates=H","DateFormat=P","Fill=—","Direction=H","UseDPDF=Y")</f>
        <v>17.338999999999999</v>
      </c>
      <c r="AF27" s="14">
        <f>_xll.BDH("XOM US Equity","TANG_BOOK_VAL_PER_SH","FQ4 2005","FQ4 2005","Currency=USD","Period=FQ","BEST_FPERIOD_OVERRIDE=FQ","FILING_STATUS=OR","Sort=A","Dates=H","DateFormat=P","Fill=—","Direction=H","UseDPDF=Y")</f>
        <v>18.129100000000001</v>
      </c>
      <c r="AG27" s="14">
        <f>_xll.BDH("XOM US Equity","TANG_BOOK_VAL_PER_SH","FQ1 2006","FQ1 2006","Currency=USD","Period=FQ","BEST_FPERIOD_OVERRIDE=FQ","FILING_STATUS=OR","Sort=A","Dates=H","DateFormat=P","Fill=—","Direction=H","UseDPDF=Y")</f>
        <v>18.588899999999999</v>
      </c>
      <c r="AH27" s="14">
        <f>_xll.BDH("XOM US Equity","TANG_BOOK_VAL_PER_SH","FQ2 2006","FQ2 2006","Currency=USD","Period=FQ","BEST_FPERIOD_OVERRIDE=FQ","FILING_STATUS=OR","Sort=A","Dates=H","DateFormat=P","Fill=—","Direction=H","UseDPDF=Y")</f>
        <v>19.4725</v>
      </c>
      <c r="AI27" s="14">
        <f>_xll.BDH("XOM US Equity","TANG_BOOK_VAL_PER_SH","FQ3 2006","FQ3 2006","Currency=USD","Period=FQ","BEST_FPERIOD_OVERRIDE=FQ","FILING_STATUS=OR","Sort=A","Dates=H","DateFormat=P","Fill=—","Direction=H","UseDPDF=Y")</f>
        <v>19.991900000000001</v>
      </c>
      <c r="AJ27" s="14">
        <f>_xll.BDH("XOM US Equity","TANG_BOOK_VAL_PER_SH","FQ4 2006","FQ4 2006","Currency=USD","Period=FQ","BEST_FPERIOD_OVERRIDE=FQ","FILING_STATUS=OR","Sort=A","Dates=H","DateFormat=P","Fill=—","Direction=H","UseDPDF=Y")</f>
        <v>19.871500000000001</v>
      </c>
      <c r="AK27" s="14">
        <f>_xll.BDH("XOM US Equity","TANG_BOOK_VAL_PER_SH","FQ1 2007","FQ1 2007","Currency=USD","Period=FQ","BEST_FPERIOD_OVERRIDE=FQ","FILING_STATUS=OR","Sort=A","Dates=H","DateFormat=P","Fill=—","Direction=H","UseDPDF=Y")</f>
        <v>20.257400000000001</v>
      </c>
      <c r="AL27" s="14">
        <f>_xll.BDH("XOM US Equity","TANG_BOOK_VAL_PER_SH","FQ2 2007","FQ2 2007","Currency=USD","Period=FQ","BEST_FPERIOD_OVERRIDE=FQ","FILING_STATUS=OR","Sort=A","Dates=H","DateFormat=P","Fill=—","Direction=H","UseDPDF=Y")</f>
        <v>20.979099999999999</v>
      </c>
      <c r="AM27" s="14">
        <f>_xll.BDH("XOM US Equity","TANG_BOOK_VAL_PER_SH","FQ3 2007","FQ3 2007","Currency=USD","Period=FQ","BEST_FPERIOD_OVERRIDE=FQ","FILING_STATUS=OR","Sort=A","Dates=H","DateFormat=P","Fill=—","Direction=H","UseDPDF=Y")</f>
        <v>21.7102</v>
      </c>
      <c r="AN27" s="14">
        <f>_xll.BDH("XOM US Equity","TANG_BOOK_VAL_PER_SH","FQ4 2007","FQ4 2007","Currency=USD","Period=FQ","BEST_FPERIOD_OVERRIDE=FQ","FILING_STATUS=OR","Sort=A","Dates=H","DateFormat=P","Fill=—","Direction=H","UseDPDF=Y")</f>
        <v>22.623899999999999</v>
      </c>
      <c r="AO27" s="14">
        <f>_xll.BDH("XOM US Equity","TANG_BOOK_VAL_PER_SH","FQ1 2008","FQ1 2008","Currency=USD","Period=FQ","BEST_FPERIOD_OVERRIDE=FQ","FILING_STATUS=OR","Sort=A","Dates=H","DateFormat=P","Fill=—","Direction=H","UseDPDF=Y")</f>
        <v>23.308499999999999</v>
      </c>
      <c r="AP27" s="14">
        <f>_xll.BDH("XOM US Equity","TANG_BOOK_VAL_PER_SH","FQ2 2008","FQ2 2008","Currency=USD","Period=FQ","BEST_FPERIOD_OVERRIDE=FQ","FILING_STATUS=OR","Sort=A","Dates=H","DateFormat=P","Fill=—","Direction=H","UseDPDF=Y")</f>
        <v>24.032699999999998</v>
      </c>
    </row>
    <row r="28" spans="1:42" x14ac:dyDescent="0.25">
      <c r="A28" s="7" t="s">
        <v>174</v>
      </c>
      <c r="B28" s="7"/>
      <c r="C28" s="7" t="s">
        <v>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20.25" x14ac:dyDescent="0.25">
      <c r="A2" s="8" t="s">
        <v>375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3" t="s">
        <v>6</v>
      </c>
      <c r="B4" s="3"/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4" t="s">
        <v>20</v>
      </c>
      <c r="Q4" s="4" t="s">
        <v>21</v>
      </c>
      <c r="R4" s="4" t="s">
        <v>22</v>
      </c>
      <c r="S4" s="4" t="s">
        <v>23</v>
      </c>
      <c r="T4" s="4" t="s">
        <v>24</v>
      </c>
      <c r="U4" s="4" t="s">
        <v>25</v>
      </c>
      <c r="V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</row>
    <row r="5" spans="1:42" x14ac:dyDescent="0.25">
      <c r="A5" s="9" t="s">
        <v>47</v>
      </c>
      <c r="B5" s="9"/>
      <c r="C5" s="5" t="s">
        <v>48</v>
      </c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67</v>
      </c>
      <c r="W5" s="5" t="s">
        <v>68</v>
      </c>
      <c r="X5" s="5" t="s">
        <v>69</v>
      </c>
      <c r="Y5" s="5" t="s">
        <v>70</v>
      </c>
      <c r="Z5" s="5" t="s">
        <v>71</v>
      </c>
      <c r="AA5" s="5" t="s">
        <v>72</v>
      </c>
      <c r="AB5" s="5" t="s">
        <v>73</v>
      </c>
      <c r="AC5" s="5" t="s">
        <v>74</v>
      </c>
      <c r="AD5" s="5" t="s">
        <v>75</v>
      </c>
      <c r="AE5" s="5" t="s">
        <v>76</v>
      </c>
      <c r="AF5" s="5" t="s">
        <v>77</v>
      </c>
      <c r="AG5" s="5" t="s">
        <v>78</v>
      </c>
      <c r="AH5" s="5" t="s">
        <v>79</v>
      </c>
      <c r="AI5" s="5" t="s">
        <v>80</v>
      </c>
      <c r="AJ5" s="5" t="s">
        <v>81</v>
      </c>
      <c r="AK5" s="5" t="s">
        <v>82</v>
      </c>
      <c r="AL5" s="5" t="s">
        <v>83</v>
      </c>
      <c r="AM5" s="5" t="s">
        <v>84</v>
      </c>
      <c r="AN5" s="5" t="s">
        <v>85</v>
      </c>
      <c r="AO5" s="5" t="s">
        <v>86</v>
      </c>
      <c r="AP5" s="5" t="s">
        <v>87</v>
      </c>
    </row>
    <row r="6" spans="1:42" x14ac:dyDescent="0.25">
      <c r="A6" s="6" t="s">
        <v>376</v>
      </c>
      <c r="B6" s="6" t="s">
        <v>377</v>
      </c>
      <c r="C6" s="17">
        <f>_xll.BDH("XOM US Equity","PX_LAST","FQ3 1998","FQ3 1998","Currency=USD","Period=FQ","BEST_FPERIOD_OVERRIDE=FQ","FILING_STATUS=OR","Sort=A","Dates=H","DateFormat=P","Fill=—","Direction=H","UseDPDF=Y")</f>
        <v>35.3125</v>
      </c>
      <c r="D6" s="17">
        <f>_xll.BDH("XOM US Equity","PX_LAST","FQ4 1998","FQ4 1998","Currency=USD","Period=FQ","BEST_FPERIOD_OVERRIDE=FQ","FILING_STATUS=OR","Sort=A","Dates=H","DateFormat=P","Fill=—","Direction=H","UseDPDF=Y")</f>
        <v>36.5625</v>
      </c>
      <c r="E6" s="17">
        <f>_xll.BDH("XOM US Equity","PX_LAST","FQ1 1999","FQ1 1999","Currency=USD","Period=FQ","BEST_FPERIOD_OVERRIDE=FQ","FILING_STATUS=OR","Sort=A","Dates=H","DateFormat=P","Fill=—","Direction=H","UseDPDF=Y")</f>
        <v>35.281300000000002</v>
      </c>
      <c r="F6" s="17">
        <f>_xll.BDH("XOM US Equity","PX_LAST","FQ2 1999","FQ2 1999","Currency=USD","Period=FQ","BEST_FPERIOD_OVERRIDE=FQ","FILING_STATUS=OR","Sort=A","Dates=H","DateFormat=P","Fill=—","Direction=H","UseDPDF=Y")</f>
        <v>38.5625</v>
      </c>
      <c r="G6" s="17">
        <f>_xll.BDH("XOM US Equity","PX_LAST","FQ3 1999","FQ3 1999","Currency=USD","Period=FQ","BEST_FPERIOD_OVERRIDE=FQ","FILING_STATUS=OR","Sort=A","Dates=H","DateFormat=P","Fill=—","Direction=H","UseDPDF=Y")</f>
        <v>38</v>
      </c>
      <c r="H6" s="17">
        <f>_xll.BDH("XOM US Equity","PX_LAST","FQ4 1999","FQ4 1999","Currency=USD","Period=FQ","BEST_FPERIOD_OVERRIDE=FQ","FILING_STATUS=OR","Sort=A","Dates=H","DateFormat=P","Fill=—","Direction=H","UseDPDF=Y")</f>
        <v>40.281300000000002</v>
      </c>
      <c r="I6" s="17">
        <f>_xll.BDH("XOM US Equity","PX_LAST","FQ1 2000","FQ1 2000","Currency=USD","Period=FQ","BEST_FPERIOD_OVERRIDE=FQ","FILING_STATUS=OR","Sort=A","Dates=H","DateFormat=P","Fill=—","Direction=H","UseDPDF=Y")</f>
        <v>39</v>
      </c>
      <c r="J6" s="17">
        <f>_xll.BDH("XOM US Equity","PX_LAST","FQ2 2000","FQ2 2000","Currency=USD","Period=FQ","BEST_FPERIOD_OVERRIDE=FQ","FILING_STATUS=OR","Sort=A","Dates=H","DateFormat=P","Fill=—","Direction=H","UseDPDF=Y")</f>
        <v>39.25</v>
      </c>
      <c r="K6" s="17">
        <f>_xll.BDH("XOM US Equity","PX_LAST","FQ3 2000","FQ3 2000","Currency=USD","Period=FQ","BEST_FPERIOD_OVERRIDE=FQ","FILING_STATUS=OR","Sort=A","Dates=H","DateFormat=P","Fill=—","Direction=H","UseDPDF=Y")</f>
        <v>44.552799999999998</v>
      </c>
      <c r="L6" s="17">
        <f>_xll.BDH("XOM US Equity","PX_LAST","FQ4 2000","FQ4 2000","Currency=USD","Period=FQ","BEST_FPERIOD_OVERRIDE=FQ","FILING_STATUS=OR","Sort=A","Dates=H","DateFormat=P","Fill=—","Direction=H","UseDPDF=Y")</f>
        <v>43.468800000000002</v>
      </c>
      <c r="M6" s="17">
        <f>_xll.BDH("XOM US Equity","PX_LAST","FQ1 2001","FQ1 2001","Currency=USD","Period=FQ","BEST_FPERIOD_OVERRIDE=FQ","FILING_STATUS=OR","Sort=A","Dates=H","DateFormat=P","Fill=—","Direction=H","UseDPDF=Y")</f>
        <v>40.5</v>
      </c>
      <c r="N6" s="17">
        <f>_xll.BDH("XOM US Equity","PX_LAST","FQ2 2001","FQ2 2001","Currency=USD","Period=FQ","BEST_FPERIOD_OVERRIDE=FQ","FILING_STATUS=OR","Sort=A","Dates=H","DateFormat=P","Fill=—","Direction=H","UseDPDF=Y")</f>
        <v>43.674999999999997</v>
      </c>
      <c r="O6" s="17">
        <f>_xll.BDH("XOM US Equity","PX_LAST","FQ3 2001","FQ3 2001","Currency=USD","Period=FQ","BEST_FPERIOD_OVERRIDE=FQ","FILING_STATUS=OR","Sort=A","Dates=H","DateFormat=P","Fill=—","Direction=H","UseDPDF=Y")</f>
        <v>39.4</v>
      </c>
      <c r="P6" s="17">
        <f>_xll.BDH("XOM US Equity","PX_LAST","FQ4 2001","FQ4 2001","Currency=USD","Period=FQ","BEST_FPERIOD_OVERRIDE=FQ","FILING_STATUS=OR","Sort=A","Dates=H","DateFormat=P","Fill=—","Direction=H","UseDPDF=Y")</f>
        <v>39.299999999999997</v>
      </c>
      <c r="Q6" s="17">
        <f>_xll.BDH("XOM US Equity","PX_LAST","FQ1 2002","FQ1 2002","Currency=USD","Period=FQ","BEST_FPERIOD_OVERRIDE=FQ","FILING_STATUS=OR","Sort=A","Dates=H","DateFormat=P","Fill=—","Direction=H","UseDPDF=Y")</f>
        <v>43.83</v>
      </c>
      <c r="R6" s="17">
        <f>_xll.BDH("XOM US Equity","PX_LAST","FQ2 2002","FQ2 2002","Currency=USD","Period=FQ","BEST_FPERIOD_OVERRIDE=FQ","FILING_STATUS=OR","Sort=A","Dates=H","DateFormat=P","Fill=—","Direction=H","UseDPDF=Y")</f>
        <v>40.92</v>
      </c>
      <c r="S6" s="17">
        <f>_xll.BDH("XOM US Equity","PX_LAST","FQ3 2002","FQ3 2002","Currency=USD","Period=FQ","BEST_FPERIOD_OVERRIDE=FQ","FILING_STATUS=OR","Sort=A","Dates=H","DateFormat=P","Fill=—","Direction=H","UseDPDF=Y")</f>
        <v>31.9</v>
      </c>
      <c r="T6" s="17">
        <f>_xll.BDH("XOM US Equity","PX_LAST","FQ4 2002","FQ4 2002","Currency=USD","Period=FQ","BEST_FPERIOD_OVERRIDE=FQ","FILING_STATUS=OR","Sort=A","Dates=H","DateFormat=P","Fill=—","Direction=H","UseDPDF=Y")</f>
        <v>34.94</v>
      </c>
      <c r="U6" s="17">
        <f>_xll.BDH("XOM US Equity","PX_LAST","FQ1 2003","FQ1 2003","Currency=USD","Period=FQ","BEST_FPERIOD_OVERRIDE=FQ","FILING_STATUS=OR","Sort=A","Dates=H","DateFormat=P","Fill=—","Direction=H","UseDPDF=Y")</f>
        <v>34.950000000000003</v>
      </c>
      <c r="V6" s="17">
        <f>_xll.BDH("XOM US Equity","PX_LAST","FQ2 2003","FQ2 2003","Currency=USD","Period=FQ","BEST_FPERIOD_OVERRIDE=FQ","FILING_STATUS=OR","Sort=A","Dates=H","DateFormat=P","Fill=—","Direction=H","UseDPDF=Y")</f>
        <v>35.909999999999997</v>
      </c>
      <c r="W6" s="17">
        <f>_xll.BDH("XOM US Equity","PX_LAST","FQ3 2003","FQ3 2003","Currency=USD","Period=FQ","BEST_FPERIOD_OVERRIDE=FQ","FILING_STATUS=OR","Sort=A","Dates=H","DateFormat=P","Fill=—","Direction=H","UseDPDF=Y")</f>
        <v>36.6</v>
      </c>
      <c r="X6" s="17">
        <f>_xll.BDH("XOM US Equity","PX_LAST","FQ4 2003","FQ4 2003","Currency=USD","Period=FQ","BEST_FPERIOD_OVERRIDE=FQ","FILING_STATUS=OR","Sort=A","Dates=H","DateFormat=P","Fill=—","Direction=H","UseDPDF=Y")</f>
        <v>41</v>
      </c>
      <c r="Y6" s="17">
        <f>_xll.BDH("XOM US Equity","PX_LAST","FQ1 2004","FQ1 2004","Currency=USD","Period=FQ","BEST_FPERIOD_OVERRIDE=FQ","FILING_STATUS=OR","Sort=A","Dates=H","DateFormat=P","Fill=—","Direction=H","UseDPDF=Y")</f>
        <v>41.59</v>
      </c>
      <c r="Z6" s="17">
        <f>_xll.BDH("XOM US Equity","PX_LAST","FQ2 2004","FQ2 2004","Currency=USD","Period=FQ","BEST_FPERIOD_OVERRIDE=FQ","FILING_STATUS=OR","Sort=A","Dates=H","DateFormat=P","Fill=—","Direction=H","UseDPDF=Y")</f>
        <v>44.41</v>
      </c>
      <c r="AA6" s="17">
        <f>_xll.BDH("XOM US Equity","PX_LAST","FQ3 2004","FQ3 2004","Currency=USD","Period=FQ","BEST_FPERIOD_OVERRIDE=FQ","FILING_STATUS=OR","Sort=A","Dates=H","DateFormat=P","Fill=—","Direction=H","UseDPDF=Y")</f>
        <v>48.33</v>
      </c>
      <c r="AB6" s="17">
        <f>_xll.BDH("XOM US Equity","PX_LAST","FQ4 2004","FQ4 2004","Currency=USD","Period=FQ","BEST_FPERIOD_OVERRIDE=FQ","FILING_STATUS=OR","Sort=A","Dates=H","DateFormat=P","Fill=—","Direction=H","UseDPDF=Y")</f>
        <v>51.26</v>
      </c>
      <c r="AC6" s="17">
        <f>_xll.BDH("XOM US Equity","PX_LAST","FQ1 2005","FQ1 2005","Currency=USD","Period=FQ","BEST_FPERIOD_OVERRIDE=FQ","FILING_STATUS=OR","Sort=A","Dates=H","DateFormat=P","Fill=—","Direction=H","UseDPDF=Y")</f>
        <v>59.6</v>
      </c>
      <c r="AD6" s="17">
        <f>_xll.BDH("XOM US Equity","PX_LAST","FQ2 2005","FQ2 2005","Currency=USD","Period=FQ","BEST_FPERIOD_OVERRIDE=FQ","FILING_STATUS=OR","Sort=A","Dates=H","DateFormat=P","Fill=—","Direction=H","UseDPDF=Y")</f>
        <v>57.47</v>
      </c>
      <c r="AE6" s="17">
        <f>_xll.BDH("XOM US Equity","PX_LAST","FQ3 2005","FQ3 2005","Currency=USD","Period=FQ","BEST_FPERIOD_OVERRIDE=FQ","FILING_STATUS=OR","Sort=A","Dates=H","DateFormat=P","Fill=—","Direction=H","UseDPDF=Y")</f>
        <v>63.54</v>
      </c>
      <c r="AF6" s="17">
        <f>_xll.BDH("XOM US Equity","PX_LAST","FQ4 2005","FQ4 2005","Currency=USD","Period=FQ","BEST_FPERIOD_OVERRIDE=FQ","FILING_STATUS=OR","Sort=A","Dates=H","DateFormat=P","Fill=—","Direction=H","UseDPDF=Y")</f>
        <v>56.17</v>
      </c>
      <c r="AG6" s="17">
        <f>_xll.BDH("XOM US Equity","PX_LAST","FQ1 2006","FQ1 2006","Currency=USD","Period=FQ","BEST_FPERIOD_OVERRIDE=FQ","FILING_STATUS=OR","Sort=A","Dates=H","DateFormat=P","Fill=—","Direction=H","UseDPDF=Y")</f>
        <v>60.86</v>
      </c>
      <c r="AH6" s="17">
        <f>_xll.BDH("XOM US Equity","PX_LAST","FQ2 2006","FQ2 2006","Currency=USD","Period=FQ","BEST_FPERIOD_OVERRIDE=FQ","FILING_STATUS=OR","Sort=A","Dates=H","DateFormat=P","Fill=—","Direction=H","UseDPDF=Y")</f>
        <v>61.35</v>
      </c>
      <c r="AI6" s="17">
        <f>_xll.BDH("XOM US Equity","PX_LAST","FQ3 2006","FQ3 2006","Currency=USD","Period=FQ","BEST_FPERIOD_OVERRIDE=FQ","FILING_STATUS=OR","Sort=A","Dates=H","DateFormat=P","Fill=—","Direction=H","UseDPDF=Y")</f>
        <v>67.099999999999994</v>
      </c>
      <c r="AJ6" s="17">
        <f>_xll.BDH("XOM US Equity","PX_LAST","FQ4 2006","FQ4 2006","Currency=USD","Period=FQ","BEST_FPERIOD_OVERRIDE=FQ","FILING_STATUS=OR","Sort=A","Dates=H","DateFormat=P","Fill=—","Direction=H","UseDPDF=Y")</f>
        <v>76.63</v>
      </c>
      <c r="AK6" s="17">
        <f>_xll.BDH("XOM US Equity","PX_LAST","FQ1 2007","FQ1 2007","Currency=USD","Period=FQ","BEST_FPERIOD_OVERRIDE=FQ","FILING_STATUS=OR","Sort=A","Dates=H","DateFormat=P","Fill=—","Direction=H","UseDPDF=Y")</f>
        <v>75.45</v>
      </c>
      <c r="AL6" s="17">
        <f>_xll.BDH("XOM US Equity","PX_LAST","FQ2 2007","FQ2 2007","Currency=USD","Period=FQ","BEST_FPERIOD_OVERRIDE=FQ","FILING_STATUS=OR","Sort=A","Dates=H","DateFormat=P","Fill=—","Direction=H","UseDPDF=Y")</f>
        <v>83.88</v>
      </c>
      <c r="AM6" s="17">
        <f>_xll.BDH("XOM US Equity","PX_LAST","FQ3 2007","FQ3 2007","Currency=USD","Period=FQ","BEST_FPERIOD_OVERRIDE=FQ","FILING_STATUS=OR","Sort=A","Dates=H","DateFormat=P","Fill=—","Direction=H","UseDPDF=Y")</f>
        <v>92.56</v>
      </c>
      <c r="AN6" s="17">
        <f>_xll.BDH("XOM US Equity","PX_LAST","FQ4 2007","FQ4 2007","Currency=USD","Period=FQ","BEST_FPERIOD_OVERRIDE=FQ","FILING_STATUS=OR","Sort=A","Dates=H","DateFormat=P","Fill=—","Direction=H","UseDPDF=Y")</f>
        <v>93.69</v>
      </c>
      <c r="AO6" s="17">
        <f>_xll.BDH("XOM US Equity","PX_LAST","FQ1 2008","FQ1 2008","Currency=USD","Period=FQ","BEST_FPERIOD_OVERRIDE=FQ","FILING_STATUS=OR","Sort=A","Dates=H","DateFormat=P","Fill=—","Direction=H","UseDPDF=Y")</f>
        <v>84.58</v>
      </c>
      <c r="AP6" s="17">
        <f>_xll.BDH("XOM US Equity","PX_LAST","FQ2 2008","FQ2 2008","Currency=USD","Period=FQ","BEST_FPERIOD_OVERRIDE=FQ","FILING_STATUS=OR","Sort=A","Dates=H","DateFormat=P","Fill=—","Direction=H","UseDPDF=Y")</f>
        <v>88.13</v>
      </c>
    </row>
    <row r="7" spans="1:42" x14ac:dyDescent="0.25">
      <c r="A7" s="11" t="s">
        <v>378</v>
      </c>
      <c r="B7" s="11" t="s">
        <v>379</v>
      </c>
      <c r="C7" s="19">
        <f>_xll.BDH("XOM US Equity","CHG_PCT_PERIOD","FQ3 1998","FQ3 1998","Currency=USD","Period=FQ","BEST_FPERIOD_OVERRIDE=FQ","FILING_STATUS=OR","Sort=A","Dates=H","DateFormat=P","Fill=—","Direction=H","UseDPDF=Y")</f>
        <v>-1.0508</v>
      </c>
      <c r="D7" s="19">
        <f>_xll.BDH("XOM US Equity","CHG_PCT_PERIOD","FQ4 1998","FQ4 1998","Currency=USD","Period=FQ","BEST_FPERIOD_OVERRIDE=FQ","FILING_STATUS=OR","Sort=A","Dates=H","DateFormat=P","Fill=—","Direction=H","UseDPDF=Y")</f>
        <v>3.5398000000000001</v>
      </c>
      <c r="E7" s="19">
        <f>_xll.BDH("XOM US Equity","CHG_PCT_PERIOD","FQ1 1999","FQ1 1999","Currency=USD","Period=FQ","BEST_FPERIOD_OVERRIDE=FQ","FILING_STATUS=OR","Sort=A","Dates=H","DateFormat=P","Fill=—","Direction=H","UseDPDF=Y")</f>
        <v>-3.5042999999999997</v>
      </c>
      <c r="F7" s="19">
        <f>_xll.BDH("XOM US Equity","CHG_PCT_PERIOD","FQ2 1999","FQ2 1999","Currency=USD","Period=FQ","BEST_FPERIOD_OVERRIDE=FQ","FILING_STATUS=OR","Sort=A","Dates=H","DateFormat=P","Fill=—","Direction=H","UseDPDF=Y")</f>
        <v>9.3003</v>
      </c>
      <c r="G7" s="19">
        <f>_xll.BDH("XOM US Equity","CHG_PCT_PERIOD","FQ3 1999","FQ3 1999","Currency=USD","Period=FQ","BEST_FPERIOD_OVERRIDE=FQ","FILING_STATUS=OR","Sort=A","Dates=H","DateFormat=P","Fill=—","Direction=H","UseDPDF=Y")</f>
        <v>-1.4586999999999999</v>
      </c>
      <c r="H7" s="19">
        <f>_xll.BDH("XOM US Equity","CHG_PCT_PERIOD","FQ4 1999","FQ4 1999","Currency=USD","Period=FQ","BEST_FPERIOD_OVERRIDE=FQ","FILING_STATUS=OR","Sort=A","Dates=H","DateFormat=P","Fill=—","Direction=H","UseDPDF=Y")</f>
        <v>6.0033000000000003</v>
      </c>
      <c r="I7" s="19">
        <f>_xll.BDH("XOM US Equity","CHG_PCT_PERIOD","FQ1 2000","FQ1 2000","Currency=USD","Period=FQ","BEST_FPERIOD_OVERRIDE=FQ","FILING_STATUS=OR","Sort=A","Dates=H","DateFormat=P","Fill=—","Direction=H","UseDPDF=Y")</f>
        <v>-3.1808000000000001</v>
      </c>
      <c r="J7" s="19">
        <f>_xll.BDH("XOM US Equity","CHG_PCT_PERIOD","FQ2 2000","FQ2 2000","Currency=USD","Period=FQ","BEST_FPERIOD_OVERRIDE=FQ","FILING_STATUS=OR","Sort=A","Dates=H","DateFormat=P","Fill=—","Direction=H","UseDPDF=Y")</f>
        <v>0.64100000000000001</v>
      </c>
      <c r="K7" s="19">
        <f>_xll.BDH("XOM US Equity","CHG_PCT_PERIOD","FQ3 2000","FQ3 2000","Currency=USD","Period=FQ","BEST_FPERIOD_OVERRIDE=FQ","FILING_STATUS=OR","Sort=A","Dates=H","DateFormat=P","Fill=—","Direction=H","UseDPDF=Y")</f>
        <v>13.510199999999999</v>
      </c>
      <c r="L7" s="19">
        <f>_xll.BDH("XOM US Equity","CHG_PCT_PERIOD","FQ4 2000","FQ4 2000","Currency=USD","Period=FQ","BEST_FPERIOD_OVERRIDE=FQ","FILING_STATUS=OR","Sort=A","Dates=H","DateFormat=P","Fill=—","Direction=H","UseDPDF=Y")</f>
        <v>-2.4331</v>
      </c>
      <c r="M7" s="19">
        <f>_xll.BDH("XOM US Equity","CHG_PCT_PERIOD","FQ1 2001","FQ1 2001","Currency=USD","Period=FQ","BEST_FPERIOD_OVERRIDE=FQ","FILING_STATUS=OR","Sort=A","Dates=H","DateFormat=P","Fill=—","Direction=H","UseDPDF=Y")</f>
        <v>-6.8296000000000001</v>
      </c>
      <c r="N7" s="19">
        <f>_xll.BDH("XOM US Equity","CHG_PCT_PERIOD","FQ2 2001","FQ2 2001","Currency=USD","Period=FQ","BEST_FPERIOD_OVERRIDE=FQ","FILING_STATUS=OR","Sort=A","Dates=H","DateFormat=P","Fill=—","Direction=H","UseDPDF=Y")</f>
        <v>7.8395000000000001</v>
      </c>
      <c r="O7" s="19">
        <f>_xll.BDH("XOM US Equity","CHG_PCT_PERIOD","FQ3 2001","FQ3 2001","Currency=USD","Period=FQ","BEST_FPERIOD_OVERRIDE=FQ","FILING_STATUS=OR","Sort=A","Dates=H","DateFormat=P","Fill=—","Direction=H","UseDPDF=Y")</f>
        <v>-9.7881999999999998</v>
      </c>
      <c r="P7" s="19" t="str">
        <f>_xll.BDH("XOM US Equity","CHG_PCT_PERIOD","FQ4 2001","FQ4 2001","Currency=USD","Period=FQ","BEST_FPERIOD_OVERRIDE=FQ","FILING_STATUS=OR","Sort=A","Dates=H","DateFormat=P","Fill=—","Direction=H","UseDPDF=Y")</f>
        <v>—</v>
      </c>
      <c r="Q7" s="19">
        <f>_xll.BDH("XOM US Equity","CHG_PCT_PERIOD","FQ1 2002","FQ1 2002","Currency=USD","Period=FQ","BEST_FPERIOD_OVERRIDE=FQ","FILING_STATUS=OR","Sort=A","Dates=H","DateFormat=P","Fill=—","Direction=H","UseDPDF=Y")</f>
        <v>11.5267</v>
      </c>
      <c r="R7" s="19" t="str">
        <f>_xll.BDH("XOM US Equity","CHG_PCT_PERIOD","FQ2 2002","FQ2 2002","Currency=USD","Period=FQ","BEST_FPERIOD_OVERRIDE=FQ","FILING_STATUS=OR","Sort=A","Dates=H","DateFormat=P","Fill=—","Direction=H","UseDPDF=Y")</f>
        <v>—</v>
      </c>
      <c r="S7" s="19" t="str">
        <f>_xll.BDH("XOM US Equity","CHG_PCT_PERIOD","FQ3 2002","FQ3 2002","Currency=USD","Period=FQ","BEST_FPERIOD_OVERRIDE=FQ","FILING_STATUS=OR","Sort=A","Dates=H","DateFormat=P","Fill=—","Direction=H","UseDPDF=Y")</f>
        <v>—</v>
      </c>
      <c r="T7" s="19">
        <f>_xll.BDH("XOM US Equity","CHG_PCT_PERIOD","FQ4 2002","FQ4 2002","Currency=USD","Period=FQ","BEST_FPERIOD_OVERRIDE=FQ","FILING_STATUS=OR","Sort=A","Dates=H","DateFormat=P","Fill=—","Direction=H","UseDPDF=Y")</f>
        <v>9.5297999999999998</v>
      </c>
      <c r="U7" s="19">
        <f>_xll.BDH("XOM US Equity","CHG_PCT_PERIOD","FQ1 2003","FQ1 2003","Currency=USD","Period=FQ","BEST_FPERIOD_OVERRIDE=FQ","FILING_STATUS=OR","Sort=A","Dates=H","DateFormat=P","Fill=—","Direction=H","UseDPDF=Y")</f>
        <v>2.86E-2</v>
      </c>
      <c r="V7" s="19">
        <f>_xll.BDH("XOM US Equity","CHG_PCT_PERIOD","FQ2 2003","FQ2 2003","Currency=USD","Period=FQ","BEST_FPERIOD_OVERRIDE=FQ","FILING_STATUS=OR","Sort=A","Dates=H","DateFormat=P","Fill=—","Direction=H","UseDPDF=Y")</f>
        <v>2.7467999999999999</v>
      </c>
      <c r="W7" s="19">
        <f>_xll.BDH("XOM US Equity","CHG_PCT_PERIOD","FQ3 2003","FQ3 2003","Currency=USD","Period=FQ","BEST_FPERIOD_OVERRIDE=FQ","FILING_STATUS=OR","Sort=A","Dates=H","DateFormat=P","Fill=—","Direction=H","UseDPDF=Y")</f>
        <v>1.9215</v>
      </c>
      <c r="X7" s="19">
        <f>_xll.BDH("XOM US Equity","CHG_PCT_PERIOD","FQ4 2003","FQ4 2003","Currency=USD","Period=FQ","BEST_FPERIOD_OVERRIDE=FQ","FILING_STATUS=OR","Sort=A","Dates=H","DateFormat=P","Fill=—","Direction=H","UseDPDF=Y")</f>
        <v>12.0219</v>
      </c>
      <c r="Y7" s="19">
        <f>_xll.BDH("XOM US Equity","CHG_PCT_PERIOD","FQ1 2004","FQ1 2004","Currency=USD","Period=FQ","BEST_FPERIOD_OVERRIDE=FQ","FILING_STATUS=OR","Sort=A","Dates=H","DateFormat=P","Fill=—","Direction=H","UseDPDF=Y")</f>
        <v>1.4390000000000001</v>
      </c>
      <c r="Z7" s="19">
        <f>_xll.BDH("XOM US Equity","CHG_PCT_PERIOD","FQ2 2004","FQ2 2004","Currency=USD","Period=FQ","BEST_FPERIOD_OVERRIDE=FQ","FILING_STATUS=OR","Sort=A","Dates=H","DateFormat=P","Fill=—","Direction=H","UseDPDF=Y")</f>
        <v>6.7805</v>
      </c>
      <c r="AA7" s="19">
        <f>_xll.BDH("XOM US Equity","CHG_PCT_PERIOD","FQ3 2004","FQ3 2004","Currency=USD","Period=FQ","BEST_FPERIOD_OVERRIDE=FQ","FILING_STATUS=OR","Sort=A","Dates=H","DateFormat=P","Fill=—","Direction=H","UseDPDF=Y")</f>
        <v>8.8268000000000004</v>
      </c>
      <c r="AB7" s="19">
        <f>_xll.BDH("XOM US Equity","CHG_PCT_PERIOD","FQ4 2004","FQ4 2004","Currency=USD","Period=FQ","BEST_FPERIOD_OVERRIDE=FQ","FILING_STATUS=OR","Sort=A","Dates=H","DateFormat=P","Fill=—","Direction=H","UseDPDF=Y")</f>
        <v>6.0625</v>
      </c>
      <c r="AC7" s="19">
        <f>_xll.BDH("XOM US Equity","CHG_PCT_PERIOD","FQ1 2005","FQ1 2005","Currency=USD","Period=FQ","BEST_FPERIOD_OVERRIDE=FQ","FILING_STATUS=OR","Sort=A","Dates=H","DateFormat=P","Fill=—","Direction=H","UseDPDF=Y")</f>
        <v>16.27</v>
      </c>
      <c r="AD7" s="19">
        <f>_xll.BDH("XOM US Equity","CHG_PCT_PERIOD","FQ2 2005","FQ2 2005","Currency=USD","Period=FQ","BEST_FPERIOD_OVERRIDE=FQ","FILING_STATUS=OR","Sort=A","Dates=H","DateFormat=P","Fill=—","Direction=H","UseDPDF=Y")</f>
        <v>-3.5737999999999999</v>
      </c>
      <c r="AE7" s="19">
        <f>_xll.BDH("XOM US Equity","CHG_PCT_PERIOD","FQ3 2005","FQ3 2005","Currency=USD","Period=FQ","BEST_FPERIOD_OVERRIDE=FQ","FILING_STATUS=OR","Sort=A","Dates=H","DateFormat=P","Fill=—","Direction=H","UseDPDF=Y")</f>
        <v>10.561999999999999</v>
      </c>
      <c r="AF7" s="19">
        <f>_xll.BDH("XOM US Equity","CHG_PCT_PERIOD","FQ4 2005","FQ4 2005","Currency=USD","Period=FQ","BEST_FPERIOD_OVERRIDE=FQ","FILING_STATUS=OR","Sort=A","Dates=H","DateFormat=P","Fill=—","Direction=H","UseDPDF=Y")</f>
        <v>-11.599</v>
      </c>
      <c r="AG7" s="19">
        <f>_xll.BDH("XOM US Equity","CHG_PCT_PERIOD","FQ1 2006","FQ1 2006","Currency=USD","Period=FQ","BEST_FPERIOD_OVERRIDE=FQ","FILING_STATUS=OR","Sort=A","Dates=H","DateFormat=P","Fill=—","Direction=H","UseDPDF=Y")</f>
        <v>8.3497000000000003</v>
      </c>
      <c r="AH7" s="19">
        <f>_xll.BDH("XOM US Equity","CHG_PCT_PERIOD","FQ2 2006","FQ2 2006","Currency=USD","Period=FQ","BEST_FPERIOD_OVERRIDE=FQ","FILING_STATUS=OR","Sort=A","Dates=H","DateFormat=P","Fill=—","Direction=H","UseDPDF=Y")</f>
        <v>0.80510000000000004</v>
      </c>
      <c r="AI7" s="19">
        <f>_xll.BDH("XOM US Equity","CHG_PCT_PERIOD","FQ3 2006","FQ3 2006","Currency=USD","Period=FQ","BEST_FPERIOD_OVERRIDE=FQ","FILING_STATUS=OR","Sort=A","Dates=H","DateFormat=P","Fill=—","Direction=H","UseDPDF=Y")</f>
        <v>9.3725000000000005</v>
      </c>
      <c r="AJ7" s="19">
        <f>_xll.BDH("XOM US Equity","CHG_PCT_PERIOD","FQ4 2006","FQ4 2006","Currency=USD","Period=FQ","BEST_FPERIOD_OVERRIDE=FQ","FILING_STATUS=OR","Sort=A","Dates=H","DateFormat=P","Fill=—","Direction=H","UseDPDF=Y")</f>
        <v>14.2027</v>
      </c>
      <c r="AK7" s="19">
        <f>_xll.BDH("XOM US Equity","CHG_PCT_PERIOD","FQ1 2007","FQ1 2007","Currency=USD","Period=FQ","BEST_FPERIOD_OVERRIDE=FQ","FILING_STATUS=OR","Sort=A","Dates=H","DateFormat=P","Fill=—","Direction=H","UseDPDF=Y")</f>
        <v>-1.5399</v>
      </c>
      <c r="AL7" s="19">
        <f>_xll.BDH("XOM US Equity","CHG_PCT_PERIOD","FQ2 2007","FQ2 2007","Currency=USD","Period=FQ","BEST_FPERIOD_OVERRIDE=FQ","FILING_STATUS=OR","Sort=A","Dates=H","DateFormat=P","Fill=—","Direction=H","UseDPDF=Y")</f>
        <v>11.173</v>
      </c>
      <c r="AM7" s="19">
        <f>_xll.BDH("XOM US Equity","CHG_PCT_PERIOD","FQ3 2007","FQ3 2007","Currency=USD","Period=FQ","BEST_FPERIOD_OVERRIDE=FQ","FILING_STATUS=OR","Sort=A","Dates=H","DateFormat=P","Fill=—","Direction=H","UseDPDF=Y")</f>
        <v>10.348100000000001</v>
      </c>
      <c r="AN7" s="19" t="str">
        <f>_xll.BDH("XOM US Equity","CHG_PCT_PERIOD","FQ4 2007","FQ4 2007","Currency=USD","Period=FQ","BEST_FPERIOD_OVERRIDE=FQ","FILING_STATUS=OR","Sort=A","Dates=H","DateFormat=P","Fill=—","Direction=H","UseDPDF=Y")</f>
        <v>—</v>
      </c>
      <c r="AO7" s="19">
        <f>_xll.BDH("XOM US Equity","CHG_PCT_PERIOD","FQ1 2008","FQ1 2008","Currency=USD","Period=FQ","BEST_FPERIOD_OVERRIDE=FQ","FILING_STATUS=OR","Sort=A","Dates=H","DateFormat=P","Fill=—","Direction=H","UseDPDF=Y")</f>
        <v>-9.7235999999999994</v>
      </c>
      <c r="AP7" s="19">
        <f>_xll.BDH("XOM US Equity","CHG_PCT_PERIOD","FQ2 2008","FQ2 2008","Currency=USD","Period=FQ","BEST_FPERIOD_OVERRIDE=FQ","FILING_STATUS=OR","Sort=A","Dates=H","DateFormat=P","Fill=—","Direction=H","UseDPDF=Y")</f>
        <v>4.1971999999999996</v>
      </c>
    </row>
    <row r="8" spans="1:42" x14ac:dyDescent="0.25">
      <c r="A8" s="10" t="s">
        <v>380</v>
      </c>
      <c r="B8" s="10" t="s">
        <v>381</v>
      </c>
      <c r="C8" s="14">
        <f>_xll.BDH("XOM US Equity","PX_OPEN","FQ3 1998","FQ3 1998","Currency=USD","Period=FQ","BEST_FPERIOD_OVERRIDE=FQ","FILING_STATUS=OR","Sort=A","Dates=H","DateFormat=P","Fill=—","Direction=H","UseDPDF=Y")</f>
        <v>36.031300000000002</v>
      </c>
      <c r="D8" s="14">
        <f>_xll.BDH("XOM US Equity","PX_OPEN","FQ4 1998","FQ4 1998","Currency=USD","Period=FQ","BEST_FPERIOD_OVERRIDE=FQ","FILING_STATUS=OR","Sort=A","Dates=H","DateFormat=P","Fill=—","Direction=H","UseDPDF=Y")</f>
        <v>35.093800000000002</v>
      </c>
      <c r="E8" s="14">
        <f>_xll.BDH("XOM US Equity","PX_OPEN","FQ1 1999","FQ1 1999","Currency=USD","Period=FQ","BEST_FPERIOD_OVERRIDE=FQ","FILING_STATUS=OR","Sort=A","Dates=H","DateFormat=P","Fill=—","Direction=H","UseDPDF=Y")</f>
        <v>36.375</v>
      </c>
      <c r="F8" s="14">
        <f>_xll.BDH("XOM US Equity","PX_OPEN","FQ2 1999","FQ2 1999","Currency=USD","Period=FQ","BEST_FPERIOD_OVERRIDE=FQ","FILING_STATUS=OR","Sort=A","Dates=H","DateFormat=P","Fill=—","Direction=H","UseDPDF=Y")</f>
        <v>35.156300000000002</v>
      </c>
      <c r="G8" s="14">
        <f>_xll.BDH("XOM US Equity","PX_OPEN","FQ3 1999","FQ3 1999","Currency=USD","Period=FQ","BEST_FPERIOD_OVERRIDE=FQ","FILING_STATUS=OR","Sort=A","Dates=H","DateFormat=P","Fill=—","Direction=H","UseDPDF=Y")</f>
        <v>38.5625</v>
      </c>
      <c r="H8" s="14">
        <f>_xll.BDH("XOM US Equity","PX_OPEN","FQ4 1999","FQ4 1999","Currency=USD","Period=FQ","BEST_FPERIOD_OVERRIDE=FQ","FILING_STATUS=OR","Sort=A","Dates=H","DateFormat=P","Fill=—","Direction=H","UseDPDF=Y")</f>
        <v>37.968800000000002</v>
      </c>
      <c r="I8" s="14">
        <f>_xll.BDH("XOM US Equity","PX_OPEN","FQ1 2000","FQ1 2000","Currency=USD","Period=FQ","BEST_FPERIOD_OVERRIDE=FQ","FILING_STATUS=OR","Sort=A","Dates=H","DateFormat=P","Fill=—","Direction=H","UseDPDF=Y")</f>
        <v>39.75</v>
      </c>
      <c r="J8" s="14">
        <f>_xll.BDH("XOM US Equity","PX_OPEN","FQ2 2000","FQ2 2000","Currency=USD","Period=FQ","BEST_FPERIOD_OVERRIDE=FQ","FILING_STATUS=OR","Sort=A","Dates=H","DateFormat=P","Fill=—","Direction=H","UseDPDF=Y")</f>
        <v>38.875</v>
      </c>
      <c r="K8" s="14">
        <f>_xll.BDH("XOM US Equity","PX_OPEN","FQ3 2000","FQ3 2000","Currency=USD","Period=FQ","BEST_FPERIOD_OVERRIDE=FQ","FILING_STATUS=OR","Sort=A","Dates=H","DateFormat=P","Fill=—","Direction=H","UseDPDF=Y")</f>
        <v>39.406300000000002</v>
      </c>
      <c r="L8" s="14">
        <f>_xll.BDH("XOM US Equity","PX_OPEN","FQ4 2000","FQ4 2000","Currency=USD","Period=FQ","BEST_FPERIOD_OVERRIDE=FQ","FILING_STATUS=OR","Sort=A","Dates=H","DateFormat=P","Fill=—","Direction=H","UseDPDF=Y")</f>
        <v>44.6875</v>
      </c>
      <c r="M8" s="14">
        <f>_xll.BDH("XOM US Equity","PX_OPEN","FQ1 2001","FQ1 2001","Currency=USD","Period=FQ","BEST_FPERIOD_OVERRIDE=FQ","FILING_STATUS=OR","Sort=A","Dates=H","DateFormat=P","Fill=—","Direction=H","UseDPDF=Y")</f>
        <v>43.343800000000002</v>
      </c>
      <c r="N8" s="14">
        <f>_xll.BDH("XOM US Equity","PX_OPEN","FQ2 2001","FQ2 2001","Currency=USD","Period=FQ","BEST_FPERIOD_OVERRIDE=FQ","FILING_STATUS=OR","Sort=A","Dates=H","DateFormat=P","Fill=—","Direction=H","UseDPDF=Y")</f>
        <v>40.5</v>
      </c>
      <c r="O8" s="14">
        <f>_xll.BDH("XOM US Equity","PX_OPEN","FQ3 2001","FQ3 2001","Currency=USD","Period=FQ","BEST_FPERIOD_OVERRIDE=FQ","FILING_STATUS=OR","Sort=A","Dates=H","DateFormat=P","Fill=—","Direction=H","UseDPDF=Y")</f>
        <v>44.125</v>
      </c>
      <c r="P8" s="14">
        <f>_xll.BDH("XOM US Equity","PX_OPEN","FQ4 2001","FQ4 2001","Currency=USD","Period=FQ","BEST_FPERIOD_OVERRIDE=FQ","FILING_STATUS=OR","Sort=A","Dates=H","DateFormat=P","Fill=—","Direction=H","UseDPDF=Y")</f>
        <v>39.25</v>
      </c>
      <c r="Q8" s="14">
        <f>_xll.BDH("XOM US Equity","PX_OPEN","FQ1 2002","FQ1 2002","Currency=USD","Period=FQ","BEST_FPERIOD_OVERRIDE=FQ","FILING_STATUS=OR","Sort=A","Dates=H","DateFormat=P","Fill=—","Direction=H","UseDPDF=Y")</f>
        <v>39.299999999999997</v>
      </c>
      <c r="R8" s="14">
        <f>_xll.BDH("XOM US Equity","PX_OPEN","FQ2 2002","FQ2 2002","Currency=USD","Period=FQ","BEST_FPERIOD_OVERRIDE=FQ","FILING_STATUS=OR","Sort=A","Dates=H","DateFormat=P","Fill=—","Direction=H","UseDPDF=Y")</f>
        <v>44.2</v>
      </c>
      <c r="S8" s="14">
        <f>_xll.BDH("XOM US Equity","PX_OPEN","FQ3 2002","FQ3 2002","Currency=USD","Period=FQ","BEST_FPERIOD_OVERRIDE=FQ","FILING_STATUS=OR","Sort=A","Dates=H","DateFormat=P","Fill=—","Direction=H","UseDPDF=Y")</f>
        <v>40.770000000000003</v>
      </c>
      <c r="T8" s="14">
        <f>_xll.BDH("XOM US Equity","PX_OPEN","FQ4 2002","FQ4 2002","Currency=USD","Period=FQ","BEST_FPERIOD_OVERRIDE=FQ","FILING_STATUS=OR","Sort=A","Dates=H","DateFormat=P","Fill=—","Direction=H","UseDPDF=Y")</f>
        <v>32.18</v>
      </c>
      <c r="U8" s="14">
        <f>_xll.BDH("XOM US Equity","PX_OPEN","FQ1 2003","FQ1 2003","Currency=USD","Period=FQ","BEST_FPERIOD_OVERRIDE=FQ","FILING_STATUS=OR","Sort=A","Dates=H","DateFormat=P","Fill=—","Direction=H","UseDPDF=Y")</f>
        <v>35</v>
      </c>
      <c r="V8" s="14">
        <f>_xll.BDH("XOM US Equity","PX_OPEN","FQ2 2003","FQ2 2003","Currency=USD","Period=FQ","BEST_FPERIOD_OVERRIDE=FQ","FILING_STATUS=OR","Sort=A","Dates=H","DateFormat=P","Fill=—","Direction=H","UseDPDF=Y")</f>
        <v>35.25</v>
      </c>
      <c r="W8" s="14">
        <f>_xll.BDH("XOM US Equity","PX_OPEN","FQ3 2003","FQ3 2003","Currency=USD","Period=FQ","BEST_FPERIOD_OVERRIDE=FQ","FILING_STATUS=OR","Sort=A","Dates=H","DateFormat=P","Fill=—","Direction=H","UseDPDF=Y")</f>
        <v>35.950000000000003</v>
      </c>
      <c r="X8" s="14">
        <f>_xll.BDH("XOM US Equity","PX_OPEN","FQ4 2003","FQ4 2003","Currency=USD","Period=FQ","BEST_FPERIOD_OVERRIDE=FQ","FILING_STATUS=OR","Sort=A","Dates=H","DateFormat=P","Fill=—","Direction=H","UseDPDF=Y")</f>
        <v>36.92</v>
      </c>
      <c r="Y8" s="14">
        <f>_xll.BDH("XOM US Equity","PX_OPEN","FQ1 2004","FQ1 2004","Currency=USD","Period=FQ","BEST_FPERIOD_OVERRIDE=FQ","FILING_STATUS=OR","Sort=A","Dates=H","DateFormat=P","Fill=—","Direction=H","UseDPDF=Y")</f>
        <v>41.02</v>
      </c>
      <c r="Z8" s="14">
        <f>_xll.BDH("XOM US Equity","PX_OPEN","FQ2 2004","FQ2 2004","Currency=USD","Period=FQ","BEST_FPERIOD_OVERRIDE=FQ","FILING_STATUS=OR","Sort=A","Dates=H","DateFormat=P","Fill=—","Direction=H","UseDPDF=Y")</f>
        <v>41.9</v>
      </c>
      <c r="AA8" s="14">
        <f>_xll.BDH("XOM US Equity","PX_OPEN","FQ3 2004","FQ3 2004","Currency=USD","Period=FQ","BEST_FPERIOD_OVERRIDE=FQ","FILING_STATUS=OR","Sort=A","Dates=H","DateFormat=P","Fill=—","Direction=H","UseDPDF=Y")</f>
        <v>44.53</v>
      </c>
      <c r="AB8" s="14">
        <f>_xll.BDH("XOM US Equity","PX_OPEN","FQ4 2004","FQ4 2004","Currency=USD","Period=FQ","BEST_FPERIOD_OVERRIDE=FQ","FILING_STATUS=OR","Sort=A","Dates=H","DateFormat=P","Fill=—","Direction=H","UseDPDF=Y")</f>
        <v>48.45</v>
      </c>
      <c r="AC8" s="14">
        <f>_xll.BDH("XOM US Equity","PX_OPEN","FQ1 2005","FQ1 2005","Currency=USD","Period=FQ","BEST_FPERIOD_OVERRIDE=FQ","FILING_STATUS=OR","Sort=A","Dates=H","DateFormat=P","Fill=—","Direction=H","UseDPDF=Y")</f>
        <v>51.02</v>
      </c>
      <c r="AD8" s="14">
        <f>_xll.BDH("XOM US Equity","PX_OPEN","FQ2 2005","FQ2 2005","Currency=USD","Period=FQ","BEST_FPERIOD_OVERRIDE=FQ","FILING_STATUS=OR","Sort=A","Dates=H","DateFormat=P","Fill=—","Direction=H","UseDPDF=Y")</f>
        <v>60.2</v>
      </c>
      <c r="AE8" s="14">
        <f>_xll.BDH("XOM US Equity","PX_OPEN","FQ3 2005","FQ3 2005","Currency=USD","Period=FQ","BEST_FPERIOD_OVERRIDE=FQ","FILING_STATUS=OR","Sort=A","Dates=H","DateFormat=P","Fill=—","Direction=H","UseDPDF=Y")</f>
        <v>57.75</v>
      </c>
      <c r="AF8" s="14">
        <f>_xll.BDH("XOM US Equity","PX_OPEN","FQ4 2005","FQ4 2005","Currency=USD","Period=FQ","BEST_FPERIOD_OVERRIDE=FQ","FILING_STATUS=OR","Sort=A","Dates=H","DateFormat=P","Fill=—","Direction=H","UseDPDF=Y")</f>
        <v>63.55</v>
      </c>
      <c r="AG8" s="14">
        <f>_xll.BDH("XOM US Equity","PX_OPEN","FQ1 2006","FQ1 2006","Currency=USD","Period=FQ","BEST_FPERIOD_OVERRIDE=FQ","FILING_STATUS=OR","Sort=A","Dates=H","DateFormat=P","Fill=—","Direction=H","UseDPDF=Y")</f>
        <v>56.42</v>
      </c>
      <c r="AH8" s="14">
        <f>_xll.BDH("XOM US Equity","PX_OPEN","FQ2 2006","FQ2 2006","Currency=USD","Period=FQ","BEST_FPERIOD_OVERRIDE=FQ","FILING_STATUS=OR","Sort=A","Dates=H","DateFormat=P","Fill=—","Direction=H","UseDPDF=Y")</f>
        <v>61.36</v>
      </c>
      <c r="AI8" s="14">
        <f>_xll.BDH("XOM US Equity","PX_OPEN","FQ3 2006","FQ3 2006","Currency=USD","Period=FQ","BEST_FPERIOD_OVERRIDE=FQ","FILING_STATUS=OR","Sort=A","Dates=H","DateFormat=P","Fill=—","Direction=H","UseDPDF=Y")</f>
        <v>61.8</v>
      </c>
      <c r="AJ8" s="14">
        <f>_xll.BDH("XOM US Equity","PX_OPEN","FQ4 2006","FQ4 2006","Currency=USD","Period=FQ","BEST_FPERIOD_OVERRIDE=FQ","FILING_STATUS=OR","Sort=A","Dates=H","DateFormat=P","Fill=—","Direction=H","UseDPDF=Y")</f>
        <v>67.290000000000006</v>
      </c>
      <c r="AK8" s="14">
        <f>_xll.BDH("XOM US Equity","PX_OPEN","FQ1 2007","FQ1 2007","Currency=USD","Period=FQ","BEST_FPERIOD_OVERRIDE=FQ","FILING_STATUS=OR","Sort=A","Dates=H","DateFormat=P","Fill=—","Direction=H","UseDPDF=Y")</f>
        <v>76.260000000000005</v>
      </c>
      <c r="AL8" s="14">
        <f>_xll.BDH("XOM US Equity","PX_OPEN","FQ2 2007","FQ2 2007","Currency=USD","Period=FQ","BEST_FPERIOD_OVERRIDE=FQ","FILING_STATUS=OR","Sort=A","Dates=H","DateFormat=P","Fill=—","Direction=H","UseDPDF=Y")</f>
        <v>75.349999999999994</v>
      </c>
      <c r="AM8" s="14">
        <f>_xll.BDH("XOM US Equity","PX_OPEN","FQ3 2007","FQ3 2007","Currency=USD","Period=FQ","BEST_FPERIOD_OVERRIDE=FQ","FILING_STATUS=OR","Sort=A","Dates=H","DateFormat=P","Fill=—","Direction=H","UseDPDF=Y")</f>
        <v>84.5</v>
      </c>
      <c r="AN8" s="14">
        <f>_xll.BDH("XOM US Equity","PX_OPEN","FQ4 2007","FQ4 2007","Currency=USD","Period=FQ","BEST_FPERIOD_OVERRIDE=FQ","FILING_STATUS=OR","Sort=A","Dates=H","DateFormat=P","Fill=—","Direction=H","UseDPDF=Y")</f>
        <v>92.45</v>
      </c>
      <c r="AO8" s="14">
        <f>_xll.BDH("XOM US Equity","PX_OPEN","FQ1 2008","FQ1 2008","Currency=USD","Period=FQ","BEST_FPERIOD_OVERRIDE=FQ","FILING_STATUS=OR","Sort=A","Dates=H","DateFormat=P","Fill=—","Direction=H","UseDPDF=Y")</f>
        <v>94.15</v>
      </c>
      <c r="AP8" s="14">
        <f>_xll.BDH("XOM US Equity","PX_OPEN","FQ2 2008","FQ2 2008","Currency=USD","Period=FQ","BEST_FPERIOD_OVERRIDE=FQ","FILING_STATUS=OR","Sort=A","Dates=H","DateFormat=P","Fill=—","Direction=H","UseDPDF=Y")</f>
        <v>84.8</v>
      </c>
    </row>
    <row r="9" spans="1:42" x14ac:dyDescent="0.25">
      <c r="A9" s="10" t="s">
        <v>382</v>
      </c>
      <c r="B9" s="10" t="s">
        <v>383</v>
      </c>
      <c r="C9" s="14">
        <f>_xll.BDH("XOM US Equity","PX_HIGH","FQ3 1998","FQ3 1998","Currency=USD","Period=FQ","BEST_FPERIOD_OVERRIDE=FQ","FILING_STATUS=OR","Sort=A","Dates=H","DateFormat=P","Fill=—","Direction=H","UseDPDF=Y")</f>
        <v>36.906300000000002</v>
      </c>
      <c r="D9" s="14">
        <f>_xll.BDH("XOM US Equity","PX_HIGH","FQ4 1998","FQ4 1998","Currency=USD","Period=FQ","BEST_FPERIOD_OVERRIDE=FQ","FILING_STATUS=OR","Sort=A","Dates=H","DateFormat=P","Fill=—","Direction=H","UseDPDF=Y")</f>
        <v>38.656300000000002</v>
      </c>
      <c r="E9" s="14">
        <f>_xll.BDH("XOM US Equity","PX_HIGH","FQ1 1999","FQ1 1999","Currency=USD","Period=FQ","BEST_FPERIOD_OVERRIDE=FQ","FILING_STATUS=OR","Sort=A","Dates=H","DateFormat=P","Fill=—","Direction=H","UseDPDF=Y")</f>
        <v>38.1875</v>
      </c>
      <c r="F9" s="14">
        <f>_xll.BDH("XOM US Equity","PX_HIGH","FQ2 1999","FQ2 1999","Currency=USD","Period=FQ","BEST_FPERIOD_OVERRIDE=FQ","FILING_STATUS=OR","Sort=A","Dates=H","DateFormat=P","Fill=—","Direction=H","UseDPDF=Y")</f>
        <v>43.625</v>
      </c>
      <c r="G9" s="14">
        <f>_xll.BDH("XOM US Equity","PX_HIGH","FQ3 1999","FQ3 1999","Currency=USD","Period=FQ","BEST_FPERIOD_OVERRIDE=FQ","FILING_STATUS=OR","Sort=A","Dates=H","DateFormat=P","Fill=—","Direction=H","UseDPDF=Y")</f>
        <v>41.5</v>
      </c>
      <c r="H9" s="14">
        <f>_xll.BDH("XOM US Equity","PX_HIGH","FQ4 1999","FQ4 1999","Currency=USD","Period=FQ","BEST_FPERIOD_OVERRIDE=FQ","FILING_STATUS=OR","Sort=A","Dates=H","DateFormat=P","Fill=—","Direction=H","UseDPDF=Y")</f>
        <v>43.281300000000002</v>
      </c>
      <c r="I9" s="14">
        <f>_xll.BDH("XOM US Equity","PX_HIGH","FQ1 2000","FQ1 2000","Currency=USD","Period=FQ","BEST_FPERIOD_OVERRIDE=FQ","FILING_STATUS=OR","Sort=A","Dates=H","DateFormat=P","Fill=—","Direction=H","UseDPDF=Y")</f>
        <v>43.156300000000002</v>
      </c>
      <c r="J9" s="14">
        <f>_xll.BDH("XOM US Equity","PX_HIGH","FQ2 2000","FQ2 2000","Currency=USD","Period=FQ","BEST_FPERIOD_OVERRIDE=FQ","FILING_STATUS=OR","Sort=A","Dates=H","DateFormat=P","Fill=—","Direction=H","UseDPDF=Y")</f>
        <v>42.375</v>
      </c>
      <c r="K9" s="14">
        <f>_xll.BDH("XOM US Equity","PX_HIGH","FQ3 2000","FQ3 2000","Currency=USD","Period=FQ","BEST_FPERIOD_OVERRIDE=FQ","FILING_STATUS=OR","Sort=A","Dates=H","DateFormat=P","Fill=—","Direction=H","UseDPDF=Y")</f>
        <v>45.375</v>
      </c>
      <c r="L9" s="14">
        <f>_xll.BDH("XOM US Equity","PX_HIGH","FQ4 2000","FQ4 2000","Currency=USD","Period=FQ","BEST_FPERIOD_OVERRIDE=FQ","FILING_STATUS=OR","Sort=A","Dates=H","DateFormat=P","Fill=—","Direction=H","UseDPDF=Y")</f>
        <v>47.718800000000002</v>
      </c>
      <c r="M9" s="14">
        <f>_xll.BDH("XOM US Equity","PX_HIGH","FQ1 2001","FQ1 2001","Currency=USD","Period=FQ","BEST_FPERIOD_OVERRIDE=FQ","FILING_STATUS=OR","Sort=A","Dates=H","DateFormat=P","Fill=—","Direction=H","UseDPDF=Y")</f>
        <v>44.875</v>
      </c>
      <c r="N9" s="14">
        <f>_xll.BDH("XOM US Equity","PX_HIGH","FQ2 2001","FQ2 2001","Currency=USD","Period=FQ","BEST_FPERIOD_OVERRIDE=FQ","FILING_STATUS=OR","Sort=A","Dates=H","DateFormat=P","Fill=—","Direction=H","UseDPDF=Y")</f>
        <v>45.835000000000001</v>
      </c>
      <c r="O9" s="14">
        <f>_xll.BDH("XOM US Equity","PX_HIGH","FQ3 2001","FQ3 2001","Currency=USD","Period=FQ","BEST_FPERIOD_OVERRIDE=FQ","FILING_STATUS=OR","Sort=A","Dates=H","DateFormat=P","Fill=—","Direction=H","UseDPDF=Y")</f>
        <v>44.4</v>
      </c>
      <c r="P9" s="14">
        <f>_xll.BDH("XOM US Equity","PX_HIGH","FQ4 2001","FQ4 2001","Currency=USD","Period=FQ","BEST_FPERIOD_OVERRIDE=FQ","FILING_STATUS=OR","Sort=A","Dates=H","DateFormat=P","Fill=—","Direction=H","UseDPDF=Y")</f>
        <v>42.7</v>
      </c>
      <c r="Q9" s="14">
        <f>_xll.BDH("XOM US Equity","PX_HIGH","FQ1 2002","FQ1 2002","Currency=USD","Period=FQ","BEST_FPERIOD_OVERRIDE=FQ","FILING_STATUS=OR","Sort=A","Dates=H","DateFormat=P","Fill=—","Direction=H","UseDPDF=Y")</f>
        <v>44.29</v>
      </c>
      <c r="R9" s="14">
        <f>_xll.BDH("XOM US Equity","PX_HIGH","FQ2 2002","FQ2 2002","Currency=USD","Period=FQ","BEST_FPERIOD_OVERRIDE=FQ","FILING_STATUS=OR","Sort=A","Dates=H","DateFormat=P","Fill=—","Direction=H","UseDPDF=Y")</f>
        <v>44.579000000000001</v>
      </c>
      <c r="S9" s="14">
        <f>_xll.BDH("XOM US Equity","PX_HIGH","FQ3 2002","FQ3 2002","Currency=USD","Period=FQ","BEST_FPERIOD_OVERRIDE=FQ","FILING_STATUS=OR","Sort=A","Dates=H","DateFormat=P","Fill=—","Direction=H","UseDPDF=Y")</f>
        <v>41.1</v>
      </c>
      <c r="T9" s="14">
        <f>_xll.BDH("XOM US Equity","PX_HIGH","FQ4 2002","FQ4 2002","Currency=USD","Period=FQ","BEST_FPERIOD_OVERRIDE=FQ","FILING_STATUS=OR","Sort=A","Dates=H","DateFormat=P","Fill=—","Direction=H","UseDPDF=Y")</f>
        <v>36.5</v>
      </c>
      <c r="U9" s="14">
        <f>_xll.BDH("XOM US Equity","PX_HIGH","FQ1 2003","FQ1 2003","Currency=USD","Period=FQ","BEST_FPERIOD_OVERRIDE=FQ","FILING_STATUS=OR","Sort=A","Dates=H","DateFormat=P","Fill=—","Direction=H","UseDPDF=Y")</f>
        <v>36.6</v>
      </c>
      <c r="V9" s="14">
        <f>_xll.BDH("XOM US Equity","PX_HIGH","FQ2 2003","FQ2 2003","Currency=USD","Period=FQ","BEST_FPERIOD_OVERRIDE=FQ","FILING_STATUS=OR","Sort=A","Dates=H","DateFormat=P","Fill=—","Direction=H","UseDPDF=Y")</f>
        <v>38.450000000000003</v>
      </c>
      <c r="W9" s="14">
        <f>_xll.BDH("XOM US Equity","PX_HIGH","FQ3 2003","FQ3 2003","Currency=USD","Period=FQ","BEST_FPERIOD_OVERRIDE=FQ","FILING_STATUS=OR","Sort=A","Dates=H","DateFormat=P","Fill=—","Direction=H","UseDPDF=Y")</f>
        <v>38.5</v>
      </c>
      <c r="X9" s="14">
        <f>_xll.BDH("XOM US Equity","PX_HIGH","FQ4 2003","FQ4 2003","Currency=USD","Period=FQ","BEST_FPERIOD_OVERRIDE=FQ","FILING_STATUS=OR","Sort=A","Dates=H","DateFormat=P","Fill=—","Direction=H","UseDPDF=Y")</f>
        <v>41.13</v>
      </c>
      <c r="Y9" s="14">
        <f>_xll.BDH("XOM US Equity","PX_HIGH","FQ1 2004","FQ1 2004","Currency=USD","Period=FQ","BEST_FPERIOD_OVERRIDE=FQ","FILING_STATUS=OR","Sort=A","Dates=H","DateFormat=P","Fill=—","Direction=H","UseDPDF=Y")</f>
        <v>43.4</v>
      </c>
      <c r="Z9" s="14">
        <f>_xll.BDH("XOM US Equity","PX_HIGH","FQ2 2004","FQ2 2004","Currency=USD","Period=FQ","BEST_FPERIOD_OVERRIDE=FQ","FILING_STATUS=OR","Sort=A","Dates=H","DateFormat=P","Fill=—","Direction=H","UseDPDF=Y")</f>
        <v>45.53</v>
      </c>
      <c r="AA9" s="14">
        <f>_xll.BDH("XOM US Equity","PX_HIGH","FQ3 2004","FQ3 2004","Currency=USD","Period=FQ","BEST_FPERIOD_OVERRIDE=FQ","FILING_STATUS=OR","Sort=A","Dates=H","DateFormat=P","Fill=—","Direction=H","UseDPDF=Y")</f>
        <v>49.79</v>
      </c>
      <c r="AB9" s="14">
        <f>_xll.BDH("XOM US Equity","PX_HIGH","FQ4 2004","FQ4 2004","Currency=USD","Period=FQ","BEST_FPERIOD_OVERRIDE=FQ","FILING_STATUS=OR","Sort=A","Dates=H","DateFormat=P","Fill=—","Direction=H","UseDPDF=Y")</f>
        <v>52.05</v>
      </c>
      <c r="AC9" s="14">
        <f>_xll.BDH("XOM US Equity","PX_HIGH","FQ1 2005","FQ1 2005","Currency=USD","Period=FQ","BEST_FPERIOD_OVERRIDE=FQ","FILING_STATUS=OR","Sort=A","Dates=H","DateFormat=P","Fill=—","Direction=H","UseDPDF=Y")</f>
        <v>64.37</v>
      </c>
      <c r="AD9" s="14">
        <f>_xll.BDH("XOM US Equity","PX_HIGH","FQ2 2005","FQ2 2005","Currency=USD","Period=FQ","BEST_FPERIOD_OVERRIDE=FQ","FILING_STATUS=OR","Sort=A","Dates=H","DateFormat=P","Fill=—","Direction=H","UseDPDF=Y")</f>
        <v>61.74</v>
      </c>
      <c r="AE9" s="14">
        <f>_xll.BDH("XOM US Equity","PX_HIGH","FQ3 2005","FQ3 2005","Currency=USD","Period=FQ","BEST_FPERIOD_OVERRIDE=FQ","FILING_STATUS=OR","Sort=A","Dates=H","DateFormat=P","Fill=—","Direction=H","UseDPDF=Y")</f>
        <v>65.959999999999994</v>
      </c>
      <c r="AF9" s="14">
        <f>_xll.BDH("XOM US Equity","PX_HIGH","FQ4 2005","FQ4 2005","Currency=USD","Period=FQ","BEST_FPERIOD_OVERRIDE=FQ","FILING_STATUS=OR","Sort=A","Dates=H","DateFormat=P","Fill=—","Direction=H","UseDPDF=Y")</f>
        <v>63.89</v>
      </c>
      <c r="AG9" s="14">
        <f>_xll.BDH("XOM US Equity","PX_HIGH","FQ1 2006","FQ1 2006","Currency=USD","Period=FQ","BEST_FPERIOD_OVERRIDE=FQ","FILING_STATUS=OR","Sort=A","Dates=H","DateFormat=P","Fill=—","Direction=H","UseDPDF=Y")</f>
        <v>63.96</v>
      </c>
      <c r="AH9" s="14">
        <f>_xll.BDH("XOM US Equity","PX_HIGH","FQ2 2006","FQ2 2006","Currency=USD","Period=FQ","BEST_FPERIOD_OVERRIDE=FQ","FILING_STATUS=OR","Sort=A","Dates=H","DateFormat=P","Fill=—","Direction=H","UseDPDF=Y")</f>
        <v>65</v>
      </c>
      <c r="AI9" s="14">
        <f>_xll.BDH("XOM US Equity","PX_HIGH","FQ3 2006","FQ3 2006","Currency=USD","Period=FQ","BEST_FPERIOD_OVERRIDE=FQ","FILING_STATUS=OR","Sort=A","Dates=H","DateFormat=P","Fill=—","Direction=H","UseDPDF=Y")</f>
        <v>71.22</v>
      </c>
      <c r="AJ9" s="14">
        <f>_xll.BDH("XOM US Equity","PX_HIGH","FQ4 2006","FQ4 2006","Currency=USD","Period=FQ","BEST_FPERIOD_OVERRIDE=FQ","FILING_STATUS=OR","Sort=A","Dates=H","DateFormat=P","Fill=—","Direction=H","UseDPDF=Y")</f>
        <v>79</v>
      </c>
      <c r="AK9" s="14">
        <f>_xll.BDH("XOM US Equity","PX_HIGH","FQ1 2007","FQ1 2007","Currency=USD","Period=FQ","BEST_FPERIOD_OVERRIDE=FQ","FILING_STATUS=OR","Sort=A","Dates=H","DateFormat=P","Fill=—","Direction=H","UseDPDF=Y")</f>
        <v>76.349999999999994</v>
      </c>
      <c r="AL9" s="14">
        <f>_xll.BDH("XOM US Equity","PX_HIGH","FQ2 2007","FQ2 2007","Currency=USD","Period=FQ","BEST_FPERIOD_OVERRIDE=FQ","FILING_STATUS=OR","Sort=A","Dates=H","DateFormat=P","Fill=—","Direction=H","UseDPDF=Y")</f>
        <v>86.58</v>
      </c>
      <c r="AM9" s="14">
        <f>_xll.BDH("XOM US Equity","PX_HIGH","FQ3 2007","FQ3 2007","Currency=USD","Period=FQ","BEST_FPERIOD_OVERRIDE=FQ","FILING_STATUS=OR","Sort=A","Dates=H","DateFormat=P","Fill=—","Direction=H","UseDPDF=Y")</f>
        <v>93.66</v>
      </c>
      <c r="AN9" s="14">
        <f>_xll.BDH("XOM US Equity","PX_HIGH","FQ4 2007","FQ4 2007","Currency=USD","Period=FQ","BEST_FPERIOD_OVERRIDE=FQ","FILING_STATUS=OR","Sort=A","Dates=H","DateFormat=P","Fill=—","Direction=H","UseDPDF=Y")</f>
        <v>95.27</v>
      </c>
      <c r="AO9" s="14">
        <f>_xll.BDH("XOM US Equity","PX_HIGH","FQ1 2008","FQ1 2008","Currency=USD","Period=FQ","BEST_FPERIOD_OVERRIDE=FQ","FILING_STATUS=OR","Sort=A","Dates=H","DateFormat=P","Fill=—","Direction=H","UseDPDF=Y")</f>
        <v>94.74</v>
      </c>
      <c r="AP9" s="14">
        <f>_xll.BDH("XOM US Equity","PX_HIGH","FQ2 2008","FQ2 2008","Currency=USD","Period=FQ","BEST_FPERIOD_OVERRIDE=FQ","FILING_STATUS=OR","Sort=A","Dates=H","DateFormat=P","Fill=—","Direction=H","UseDPDF=Y")</f>
        <v>96.12</v>
      </c>
    </row>
    <row r="10" spans="1:42" x14ac:dyDescent="0.25">
      <c r="A10" s="10" t="s">
        <v>384</v>
      </c>
      <c r="B10" s="10" t="s">
        <v>385</v>
      </c>
      <c r="C10" s="14">
        <f>_xll.BDH("XOM US Equity","PX_LOW","FQ3 1998","FQ3 1998","Currency=USD","Period=FQ","BEST_FPERIOD_OVERRIDE=FQ","FILING_STATUS=OR","Sort=A","Dates=H","DateFormat=P","Fill=—","Direction=H","UseDPDF=Y")</f>
        <v>31</v>
      </c>
      <c r="D10" s="14">
        <f>_xll.BDH("XOM US Equity","PX_LOW","FQ4 1998","FQ4 1998","Currency=USD","Period=FQ","BEST_FPERIOD_OVERRIDE=FQ","FILING_STATUS=OR","Sort=A","Dates=H","DateFormat=P","Fill=—","Direction=H","UseDPDF=Y")</f>
        <v>34.718800000000002</v>
      </c>
      <c r="E10" s="14">
        <f>_xll.BDH("XOM US Equity","PX_LOW","FQ1 1999","FQ1 1999","Currency=USD","Period=FQ","BEST_FPERIOD_OVERRIDE=FQ","FILING_STATUS=OR","Sort=A","Dates=H","DateFormat=P","Fill=—","Direction=H","UseDPDF=Y")</f>
        <v>32.156300000000002</v>
      </c>
      <c r="F10" s="14">
        <f>_xll.BDH("XOM US Equity","PX_LOW","FQ2 1999","FQ2 1999","Currency=USD","Period=FQ","BEST_FPERIOD_OVERRIDE=FQ","FILING_STATUS=OR","Sort=A","Dates=H","DateFormat=P","Fill=—","Direction=H","UseDPDF=Y")</f>
        <v>34.718800000000002</v>
      </c>
      <c r="G10" s="14">
        <f>_xll.BDH("XOM US Equity","PX_LOW","FQ3 1999","FQ3 1999","Currency=USD","Period=FQ","BEST_FPERIOD_OVERRIDE=FQ","FILING_STATUS=OR","Sort=A","Dates=H","DateFormat=P","Fill=—","Direction=H","UseDPDF=Y")</f>
        <v>36.0625</v>
      </c>
      <c r="H10" s="14">
        <f>_xll.BDH("XOM US Equity","PX_LOW","FQ4 1999","FQ4 1999","Currency=USD","Period=FQ","BEST_FPERIOD_OVERRIDE=FQ","FILING_STATUS=OR","Sort=A","Dates=H","DateFormat=P","Fill=—","Direction=H","UseDPDF=Y")</f>
        <v>35.031300000000002</v>
      </c>
      <c r="I10" s="14">
        <f>_xll.BDH("XOM US Equity","PX_LOW","FQ1 2000","FQ1 2000","Currency=USD","Period=FQ","BEST_FPERIOD_OVERRIDE=FQ","FILING_STATUS=OR","Sort=A","Dates=H","DateFormat=P","Fill=—","Direction=H","UseDPDF=Y")</f>
        <v>34.9375</v>
      </c>
      <c r="J10" s="14">
        <f>_xll.BDH("XOM US Equity","PX_LOW","FQ2 2000","FQ2 2000","Currency=USD","Period=FQ","BEST_FPERIOD_OVERRIDE=FQ","FILING_STATUS=OR","Sort=A","Dates=H","DateFormat=P","Fill=—","Direction=H","UseDPDF=Y")</f>
        <v>37.5</v>
      </c>
      <c r="K10" s="14">
        <f>_xll.BDH("XOM US Equity","PX_LOW","FQ3 2000","FQ3 2000","Currency=USD","Period=FQ","BEST_FPERIOD_OVERRIDE=FQ","FILING_STATUS=OR","Sort=A","Dates=H","DateFormat=P","Fill=—","Direction=H","UseDPDF=Y")</f>
        <v>37.5625</v>
      </c>
      <c r="L10" s="14">
        <f>_xll.BDH("XOM US Equity","PX_LOW","FQ4 2000","FQ4 2000","Currency=USD","Period=FQ","BEST_FPERIOD_OVERRIDE=FQ","FILING_STATUS=OR","Sort=A","Dates=H","DateFormat=P","Fill=—","Direction=H","UseDPDF=Y")</f>
        <v>42.031300000000002</v>
      </c>
      <c r="M10" s="14">
        <f>_xll.BDH("XOM US Equity","PX_LOW","FQ1 2001","FQ1 2001","Currency=USD","Period=FQ","BEST_FPERIOD_OVERRIDE=FQ","FILING_STATUS=OR","Sort=A","Dates=H","DateFormat=P","Fill=—","Direction=H","UseDPDF=Y")</f>
        <v>37.6</v>
      </c>
      <c r="N10" s="14">
        <f>_xll.BDH("XOM US Equity","PX_LOW","FQ2 2001","FQ2 2001","Currency=USD","Period=FQ","BEST_FPERIOD_OVERRIDE=FQ","FILING_STATUS=OR","Sort=A","Dates=H","DateFormat=P","Fill=—","Direction=H","UseDPDF=Y")</f>
        <v>38.5</v>
      </c>
      <c r="O10" s="14">
        <f>_xll.BDH("XOM US Equity","PX_LOW","FQ3 2001","FQ3 2001","Currency=USD","Period=FQ","BEST_FPERIOD_OVERRIDE=FQ","FILING_STATUS=OR","Sort=A","Dates=H","DateFormat=P","Fill=—","Direction=H","UseDPDF=Y")</f>
        <v>35.01</v>
      </c>
      <c r="P10" s="14">
        <f>_xll.BDH("XOM US Equity","PX_LOW","FQ4 2001","FQ4 2001","Currency=USD","Period=FQ","BEST_FPERIOD_OVERRIDE=FQ","FILING_STATUS=OR","Sort=A","Dates=H","DateFormat=P","Fill=—","Direction=H","UseDPDF=Y")</f>
        <v>36.409999999999997</v>
      </c>
      <c r="Q10" s="14">
        <f>_xll.BDH("XOM US Equity","PX_LOW","FQ1 2002","FQ1 2002","Currency=USD","Period=FQ","BEST_FPERIOD_OVERRIDE=FQ","FILING_STATUS=OR","Sort=A","Dates=H","DateFormat=P","Fill=—","Direction=H","UseDPDF=Y")</f>
        <v>37.6</v>
      </c>
      <c r="R10" s="14">
        <f>_xll.BDH("XOM US Equity","PX_LOW","FQ2 2002","FQ2 2002","Currency=USD","Period=FQ","BEST_FPERIOD_OVERRIDE=FQ","FILING_STATUS=OR","Sort=A","Dates=H","DateFormat=P","Fill=—","Direction=H","UseDPDF=Y")</f>
        <v>38.5</v>
      </c>
      <c r="S10" s="14">
        <f>_xll.BDH("XOM US Equity","PX_LOW","FQ3 2002","FQ3 2002","Currency=USD","Period=FQ","BEST_FPERIOD_OVERRIDE=FQ","FILING_STATUS=OR","Sort=A","Dates=H","DateFormat=P","Fill=—","Direction=H","UseDPDF=Y")</f>
        <v>29.75</v>
      </c>
      <c r="T10" s="14">
        <f>_xll.BDH("XOM US Equity","PX_LOW","FQ4 2002","FQ4 2002","Currency=USD","Period=FQ","BEST_FPERIOD_OVERRIDE=FQ","FILING_STATUS=OR","Sort=A","Dates=H","DateFormat=P","Fill=—","Direction=H","UseDPDF=Y")</f>
        <v>32.03</v>
      </c>
      <c r="U10" s="14">
        <f>_xll.BDH("XOM US Equity","PX_LOW","FQ1 2003","FQ1 2003","Currency=USD","Period=FQ","BEST_FPERIOD_OVERRIDE=FQ","FILING_STATUS=OR","Sort=A","Dates=H","DateFormat=P","Fill=—","Direction=H","UseDPDF=Y")</f>
        <v>31.58</v>
      </c>
      <c r="V10" s="14">
        <f>_xll.BDH("XOM US Equity","PX_LOW","FQ2 2003","FQ2 2003","Currency=USD","Period=FQ","BEST_FPERIOD_OVERRIDE=FQ","FILING_STATUS=OR","Sort=A","Dates=H","DateFormat=P","Fill=—","Direction=H","UseDPDF=Y")</f>
        <v>34.200000000000003</v>
      </c>
      <c r="W10" s="14">
        <f>_xll.BDH("XOM US Equity","PX_LOW","FQ3 2003","FQ3 2003","Currency=USD","Period=FQ","BEST_FPERIOD_OVERRIDE=FQ","FILING_STATUS=OR","Sort=A","Dates=H","DateFormat=P","Fill=—","Direction=H","UseDPDF=Y")</f>
        <v>34.9</v>
      </c>
      <c r="X10" s="14">
        <f>_xll.BDH("XOM US Equity","PX_LOW","FQ4 2003","FQ4 2003","Currency=USD","Period=FQ","BEST_FPERIOD_OVERRIDE=FQ","FILING_STATUS=OR","Sort=A","Dates=H","DateFormat=P","Fill=—","Direction=H","UseDPDF=Y")</f>
        <v>35.049999999999997</v>
      </c>
      <c r="Y10" s="14">
        <f>_xll.BDH("XOM US Equity","PX_LOW","FQ1 2004","FQ1 2004","Currency=USD","Period=FQ","BEST_FPERIOD_OVERRIDE=FQ","FILING_STATUS=OR","Sort=A","Dates=H","DateFormat=P","Fill=—","Direction=H","UseDPDF=Y")</f>
        <v>39.909999999999997</v>
      </c>
      <c r="Z10" s="14">
        <f>_xll.BDH("XOM US Equity","PX_LOW","FQ2 2004","FQ2 2004","Currency=USD","Period=FQ","BEST_FPERIOD_OVERRIDE=FQ","FILING_STATUS=OR","Sort=A","Dates=H","DateFormat=P","Fill=—","Direction=H","UseDPDF=Y")</f>
        <v>41.43</v>
      </c>
      <c r="AA10" s="14">
        <f>_xll.BDH("XOM US Equity","PX_LOW","FQ3 2004","FQ3 2004","Currency=USD","Period=FQ","BEST_FPERIOD_OVERRIDE=FQ","FILING_STATUS=OR","Sort=A","Dates=H","DateFormat=P","Fill=—","Direction=H","UseDPDF=Y")</f>
        <v>44.2</v>
      </c>
      <c r="AB10" s="14">
        <f>_xll.BDH("XOM US Equity","PX_LOW","FQ4 2004","FQ4 2004","Currency=USD","Period=FQ","BEST_FPERIOD_OVERRIDE=FQ","FILING_STATUS=OR","Sort=A","Dates=H","DateFormat=P","Fill=—","Direction=H","UseDPDF=Y")</f>
        <v>48.18</v>
      </c>
      <c r="AC10" s="14">
        <f>_xll.BDH("XOM US Equity","PX_LOW","FQ1 2005","FQ1 2005","Currency=USD","Period=FQ","BEST_FPERIOD_OVERRIDE=FQ","FILING_STATUS=OR","Sort=A","Dates=H","DateFormat=P","Fill=—","Direction=H","UseDPDF=Y")</f>
        <v>49.25</v>
      </c>
      <c r="AD10" s="14">
        <f>_xll.BDH("XOM US Equity","PX_LOW","FQ2 2005","FQ2 2005","Currency=USD","Period=FQ","BEST_FPERIOD_OVERRIDE=FQ","FILING_STATUS=OR","Sort=A","Dates=H","DateFormat=P","Fill=—","Direction=H","UseDPDF=Y")</f>
        <v>52.78</v>
      </c>
      <c r="AE10" s="14">
        <f>_xll.BDH("XOM US Equity","PX_LOW","FQ3 2005","FQ3 2005","Currency=USD","Period=FQ","BEST_FPERIOD_OVERRIDE=FQ","FILING_STATUS=OR","Sort=A","Dates=H","DateFormat=P","Fill=—","Direction=H","UseDPDF=Y")</f>
        <v>57.6</v>
      </c>
      <c r="AF10" s="14">
        <f>_xll.BDH("XOM US Equity","PX_LOW","FQ4 2005","FQ4 2005","Currency=USD","Period=FQ","BEST_FPERIOD_OVERRIDE=FQ","FILING_STATUS=OR","Sort=A","Dates=H","DateFormat=P","Fill=—","Direction=H","UseDPDF=Y")</f>
        <v>54.5</v>
      </c>
      <c r="AG10" s="14">
        <f>_xll.BDH("XOM US Equity","PX_LOW","FQ1 2006","FQ1 2006","Currency=USD","Period=FQ","BEST_FPERIOD_OVERRIDE=FQ","FILING_STATUS=OR","Sort=A","Dates=H","DateFormat=P","Fill=—","Direction=H","UseDPDF=Y")</f>
        <v>56.42</v>
      </c>
      <c r="AH10" s="14">
        <f>_xll.BDH("XOM US Equity","PX_LOW","FQ2 2006","FQ2 2006","Currency=USD","Period=FQ","BEST_FPERIOD_OVERRIDE=FQ","FILING_STATUS=OR","Sort=A","Dates=H","DateFormat=P","Fill=—","Direction=H","UseDPDF=Y")</f>
        <v>56.64</v>
      </c>
      <c r="AI10" s="14">
        <f>_xll.BDH("XOM US Equity","PX_LOW","FQ3 2006","FQ3 2006","Currency=USD","Period=FQ","BEST_FPERIOD_OVERRIDE=FQ","FILING_STATUS=OR","Sort=A","Dates=H","DateFormat=P","Fill=—","Direction=H","UseDPDF=Y")</f>
        <v>61.63</v>
      </c>
      <c r="AJ10" s="14">
        <f>_xll.BDH("XOM US Equity","PX_LOW","FQ4 2006","FQ4 2006","Currency=USD","Period=FQ","BEST_FPERIOD_OVERRIDE=FQ","FILING_STATUS=OR","Sort=A","Dates=H","DateFormat=P","Fill=—","Direction=H","UseDPDF=Y")</f>
        <v>64.84</v>
      </c>
      <c r="AK10" s="14">
        <f>_xll.BDH("XOM US Equity","PX_LOW","FQ1 2007","FQ1 2007","Currency=USD","Period=FQ","BEST_FPERIOD_OVERRIDE=FQ","FILING_STATUS=OR","Sort=A","Dates=H","DateFormat=P","Fill=—","Direction=H","UseDPDF=Y")</f>
        <v>69.02</v>
      </c>
      <c r="AL10" s="14">
        <f>_xll.BDH("XOM US Equity","PX_LOW","FQ2 2007","FQ2 2007","Currency=USD","Period=FQ","BEST_FPERIOD_OVERRIDE=FQ","FILING_STATUS=OR","Sort=A","Dates=H","DateFormat=P","Fill=—","Direction=H","UseDPDF=Y")</f>
        <v>75.28</v>
      </c>
      <c r="AM10" s="14">
        <f>_xll.BDH("XOM US Equity","PX_LOW","FQ3 2007","FQ3 2007","Currency=USD","Period=FQ","BEST_FPERIOD_OVERRIDE=FQ","FILING_STATUS=OR","Sort=A","Dates=H","DateFormat=P","Fill=—","Direction=H","UseDPDF=Y")</f>
        <v>78.760000000000005</v>
      </c>
      <c r="AN10" s="14">
        <f>_xll.BDH("XOM US Equity","PX_LOW","FQ4 2007","FQ4 2007","Currency=USD","Period=FQ","BEST_FPERIOD_OVERRIDE=FQ","FILING_STATUS=OR","Sort=A","Dates=H","DateFormat=P","Fill=—","Direction=H","UseDPDF=Y")</f>
        <v>83.37</v>
      </c>
      <c r="AO10" s="14">
        <f>_xll.BDH("XOM US Equity","PX_LOW","FQ1 2008","FQ1 2008","Currency=USD","Period=FQ","BEST_FPERIOD_OVERRIDE=FQ","FILING_STATUS=OR","Sort=A","Dates=H","DateFormat=P","Fill=—","Direction=H","UseDPDF=Y")</f>
        <v>77.55</v>
      </c>
      <c r="AP10" s="14">
        <f>_xll.BDH("XOM US Equity","PX_LOW","FQ2 2008","FQ2 2008","Currency=USD","Period=FQ","BEST_FPERIOD_OVERRIDE=FQ","FILING_STATUS=OR","Sort=A","Dates=H","DateFormat=P","Fill=—","Direction=H","UseDPDF=Y")</f>
        <v>84.26</v>
      </c>
    </row>
    <row r="11" spans="1:42" x14ac:dyDescent="0.25">
      <c r="A11" s="6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 x14ac:dyDescent="0.25">
      <c r="A12" s="6" t="s">
        <v>386</v>
      </c>
      <c r="B12" s="6" t="s">
        <v>387</v>
      </c>
      <c r="C12" s="16">
        <f>_xll.BDH("XOM US Equity","HISTORICAL_MARKET_CAP","FQ3 1998","FQ3 1998","Currency=USD","Period=FQ","BEST_FPERIOD_OVERRIDE=FQ","FILING_STATUS=OR","SCALING_FORMAT=MLN","Sort=A","Dates=H","DateFormat=P","Fill=—","Direction=H","UseDPDF=Y")</f>
        <v>171705.61730000001</v>
      </c>
      <c r="D12" s="16">
        <f>_xll.BDH("XOM US Equity","HISTORICAL_MARKET_CAP","FQ4 1998","FQ4 1998","Currency=USD","Period=FQ","BEST_FPERIOD_OVERRIDE=FQ","FILING_STATUS=OR","SCALING_FORMAT=MLN","Sort=A","Dates=H","DateFormat=P","Fill=—","Direction=H","UseDPDF=Y")</f>
        <v>177547.5</v>
      </c>
      <c r="E12" s="16">
        <f>_xll.BDH("XOM US Equity","HISTORICAL_MARKET_CAP","FQ1 1999","FQ1 1999","Currency=USD","Period=FQ","BEST_FPERIOD_OVERRIDE=FQ","FILING_STATUS=OR","SCALING_FORMAT=MLN","Sort=A","Dates=H","DateFormat=P","Fill=—","Direction=H","UseDPDF=Y")</f>
        <v>171310.6085</v>
      </c>
      <c r="F12" s="16">
        <f>_xll.BDH("XOM US Equity","HISTORICAL_MARKET_CAP","FQ2 1999","FQ2 1999","Currency=USD","Period=FQ","BEST_FPERIOD_OVERRIDE=FQ","FILING_STATUS=OR","SCALING_FORMAT=MLN","Sort=A","Dates=H","DateFormat=P","Fill=—","Direction=H","UseDPDF=Y")</f>
        <v>187259.5</v>
      </c>
      <c r="G12" s="16">
        <f>_xll.BDH("XOM US Equity","HISTORICAL_MARKET_CAP","FQ3 1999","FQ3 1999","Currency=USD","Period=FQ","BEST_FPERIOD_OVERRIDE=FQ","FILING_STATUS=OR","SCALING_FORMAT=MLN","Sort=A","Dates=H","DateFormat=P","Fill=—","Direction=H","UseDPDF=Y")</f>
        <v>184511.66</v>
      </c>
      <c r="H12" s="16">
        <f>_xll.BDH("XOM US Equity","HISTORICAL_MARKET_CAP","FQ4 1999","FQ4 1999","Currency=USD","Period=FQ","BEST_FPERIOD_OVERRIDE=FQ","FILING_STATUS=OR","SCALING_FORMAT=MLN","Sort=A","Dates=H","DateFormat=P","Fill=—","Direction=H","UseDPDF=Y")</f>
        <v>280115.8125</v>
      </c>
      <c r="I12" s="16">
        <f>_xll.BDH("XOM US Equity","HISTORICAL_MARKET_CAP","FQ1 2000","FQ1 2000","Currency=USD","Period=FQ","BEST_FPERIOD_OVERRIDE=FQ","FILING_STATUS=OR","SCALING_FORMAT=MLN","Sort=A","Dates=H","DateFormat=P","Fill=—","Direction=H","UseDPDF=Y")</f>
        <v>271527.82799999998</v>
      </c>
      <c r="J12" s="16">
        <f>_xll.BDH("XOM US Equity","HISTORICAL_MARKET_CAP","FQ2 2000","FQ2 2000","Currency=USD","Period=FQ","BEST_FPERIOD_OVERRIDE=FQ","FILING_STATUS=OR","SCALING_FORMAT=MLN","Sort=A","Dates=H","DateFormat=P","Fill=—","Direction=H","UseDPDF=Y")</f>
        <v>273481.51850000001</v>
      </c>
      <c r="K12" s="16">
        <f>_xll.BDH("XOM US Equity","HISTORICAL_MARKET_CAP","FQ3 2000","FQ3 2000","Currency=USD","Period=FQ","BEST_FPERIOD_OVERRIDE=FQ","FILING_STATUS=OR","SCALING_FORMAT=MLN","Sort=A","Dates=H","DateFormat=P","Fill=—","Direction=H","UseDPDF=Y")</f>
        <v>309730.71799999999</v>
      </c>
      <c r="L12" s="16">
        <f>_xll.BDH("XOM US Equity","HISTORICAL_MARKET_CAP","FQ4 2000","FQ4 2000","Currency=USD","Period=FQ","BEST_FPERIOD_OVERRIDE=FQ","FILING_STATUS=OR","SCALING_FORMAT=MLN","Sort=A","Dates=H","DateFormat=P","Fill=—","Direction=H","UseDPDF=Y")</f>
        <v>301238.4375</v>
      </c>
      <c r="M12" s="16">
        <f>_xll.BDH("XOM US Equity","HISTORICAL_MARKET_CAP","FQ1 2001","FQ1 2001","Currency=USD","Period=FQ","BEST_FPERIOD_OVERRIDE=FQ","FILING_STATUS=OR","SCALING_FORMAT=MLN","Sort=A","Dates=H","DateFormat=P","Fill=—","Direction=H","UseDPDF=Y")</f>
        <v>279450</v>
      </c>
      <c r="N12" s="16">
        <f>_xll.BDH("XOM US Equity","HISTORICAL_MARKET_CAP","FQ2 2001","FQ2 2001","Currency=USD","Period=FQ","BEST_FPERIOD_OVERRIDE=FQ","FILING_STATUS=OR","SCALING_FORMAT=MLN","Sort=A","Dates=H","DateFormat=P","Fill=—","Direction=H","UseDPDF=Y")</f>
        <v>298522.0735</v>
      </c>
      <c r="O12" s="16">
        <f>_xll.BDH("XOM US Equity","HISTORICAL_MARKET_CAP","FQ3 2001","FQ3 2001","Currency=USD","Period=FQ","BEST_FPERIOD_OVERRIDE=FQ","FILING_STATUS=OR","SCALING_FORMAT=MLN","Sort=A","Dates=H","DateFormat=P","Fill=—","Direction=H","UseDPDF=Y")</f>
        <v>269496</v>
      </c>
      <c r="P12" s="16">
        <f>_xll.BDH("XOM US Equity","HISTORICAL_MARKET_CAP","FQ4 2001","FQ4 2001","Currency=USD","Period=FQ","BEST_FPERIOD_OVERRIDE=FQ","FILING_STATUS=OR","SCALING_FORMAT=MLN","Sort=A","Dates=H","DateFormat=P","Fill=—","Direction=H","UseDPDF=Y")</f>
        <v>267593.7</v>
      </c>
      <c r="Q12" s="16">
        <f>_xll.BDH("XOM US Equity","HISTORICAL_MARKET_CAP","FQ1 2002","FQ1 2002","Currency=USD","Period=FQ","BEST_FPERIOD_OVERRIDE=FQ","FILING_STATUS=OR","SCALING_FORMAT=MLN","Sort=A","Dates=H","DateFormat=P","Fill=—","Direction=H","UseDPDF=Y")</f>
        <v>297255.06</v>
      </c>
      <c r="R12" s="16">
        <f>_xll.BDH("XOM US Equity","HISTORICAL_MARKET_CAP","FQ2 2002","FQ2 2002","Currency=USD","Period=FQ","BEST_FPERIOD_OVERRIDE=FQ","FILING_STATUS=OR","SCALING_FORMAT=MLN","Sort=A","Dates=H","DateFormat=P","Fill=—","Direction=H","UseDPDF=Y")</f>
        <v>276496.44</v>
      </c>
      <c r="S12" s="16">
        <f>_xll.BDH("XOM US Equity","HISTORICAL_MARKET_CAP","FQ3 2002","FQ3 2002","Currency=USD","Period=FQ","BEST_FPERIOD_OVERRIDE=FQ","FILING_STATUS=OR","SCALING_FORMAT=MLN","Sort=A","Dates=H","DateFormat=P","Fill=—","Direction=H","UseDPDF=Y")</f>
        <v>214655.1</v>
      </c>
      <c r="T12" s="16">
        <f>_xll.BDH("XOM US Equity","HISTORICAL_MARKET_CAP","FQ4 2002","FQ4 2002","Currency=USD","Period=FQ","BEST_FPERIOD_OVERRIDE=FQ","FILING_STATUS=OR","SCALING_FORMAT=MLN","Sort=A","Dates=H","DateFormat=P","Fill=—","Direction=H","UseDPDF=Y")</f>
        <v>234098</v>
      </c>
      <c r="U12" s="16">
        <f>_xll.BDH("XOM US Equity","HISTORICAL_MARKET_CAP","FQ1 2003","FQ1 2003","Currency=USD","Period=FQ","BEST_FPERIOD_OVERRIDE=FQ","FILING_STATUS=OR","SCALING_FORMAT=MLN","Sort=A","Dates=H","DateFormat=P","Fill=—","Direction=H","UseDPDF=Y")</f>
        <v>233444.71549999999</v>
      </c>
      <c r="V12" s="16">
        <f>_xll.BDH("XOM US Equity","HISTORICAL_MARKET_CAP","FQ2 2003","FQ2 2003","Currency=USD","Period=FQ","BEST_FPERIOD_OVERRIDE=FQ","FILING_STATUS=OR","SCALING_FORMAT=MLN","Sort=A","Dates=H","DateFormat=P","Fill=—","Direction=H","UseDPDF=Y")</f>
        <v>238873.32</v>
      </c>
      <c r="W12" s="16">
        <f>_xll.BDH("XOM US Equity","HISTORICAL_MARKET_CAP","FQ3 2003","FQ3 2003","Currency=USD","Period=FQ","BEST_FPERIOD_OVERRIDE=FQ","FILING_STATUS=OR","SCALING_FORMAT=MLN","Sort=A","Dates=H","DateFormat=P","Fill=—","Direction=H","UseDPDF=Y")</f>
        <v>241889.4</v>
      </c>
      <c r="X12" s="16">
        <f>_xll.BDH("XOM US Equity","HISTORICAL_MARKET_CAP","FQ4 2003","FQ4 2003","Currency=USD","Period=FQ","BEST_FPERIOD_OVERRIDE=FQ","FILING_STATUS=OR","SCALING_FORMAT=MLN","Sort=A","Dates=H","DateFormat=P","Fill=—","Direction=H","UseDPDF=Y")</f>
        <v>269288</v>
      </c>
      <c r="Y12" s="16">
        <f>_xll.BDH("XOM US Equity","HISTORICAL_MARKET_CAP","FQ1 2004","FQ1 2004","Currency=USD","Period=FQ","BEST_FPERIOD_OVERRIDE=FQ","FILING_STATUS=OR","SCALING_FORMAT=MLN","Sort=A","Dates=H","DateFormat=P","Fill=—","Direction=H","UseDPDF=Y")</f>
        <v>272000.47159999999</v>
      </c>
      <c r="Z12" s="16">
        <f>_xll.BDH("XOM US Equity","HISTORICAL_MARKET_CAP","FQ2 2004","FQ2 2004","Currency=USD","Period=FQ","BEST_FPERIOD_OVERRIDE=FQ","FILING_STATUS=OR","SCALING_FORMAT=MLN","Sort=A","Dates=H","DateFormat=P","Fill=—","Direction=H","UseDPDF=Y")</f>
        <v>288909.5711</v>
      </c>
      <c r="AA12" s="16">
        <f>_xll.BDH("XOM US Equity","HISTORICAL_MARKET_CAP","FQ3 2004","FQ3 2004","Currency=USD","Period=FQ","BEST_FPERIOD_OVERRIDE=FQ","FILING_STATUS=OR","SCALING_FORMAT=MLN","Sort=A","Dates=H","DateFormat=P","Fill=—","Direction=H","UseDPDF=Y")</f>
        <v>311791.08730000001</v>
      </c>
      <c r="AB12" s="16">
        <f>_xll.BDH("XOM US Equity","HISTORICAL_MARKET_CAP","FQ4 2004","FQ4 2004","Currency=USD","Period=FQ","BEST_FPERIOD_OVERRIDE=FQ","FILING_STATUS=OR","SCALING_FORMAT=MLN","Sort=A","Dates=H","DateFormat=P","Fill=—","Direction=H","UseDPDF=Y")</f>
        <v>328115.26</v>
      </c>
      <c r="AC12" s="16">
        <f>_xll.BDH("XOM US Equity","HISTORICAL_MARKET_CAP","FQ1 2005","FQ1 2005","Currency=USD","Period=FQ","BEST_FPERIOD_OVERRIDE=FQ","FILING_STATUS=OR","SCALING_FORMAT=MLN","Sort=A","Dates=H","DateFormat=P","Fill=—","Direction=H","UseDPDF=Y")</f>
        <v>379397.77899999998</v>
      </c>
      <c r="AD12" s="16">
        <f>_xll.BDH("XOM US Equity","HISTORICAL_MARKET_CAP","FQ2 2005","FQ2 2005","Currency=USD","Period=FQ","BEST_FPERIOD_OVERRIDE=FQ","FILING_STATUS=OR","SCALING_FORMAT=MLN","Sort=A","Dates=H","DateFormat=P","Fill=—","Direction=H","UseDPDF=Y")</f>
        <v>362355.91159999999</v>
      </c>
      <c r="AE12" s="16">
        <f>_xll.BDH("XOM US Equity","HISTORICAL_MARKET_CAP","FQ3 2005","FQ3 2005","Currency=USD","Period=FQ","BEST_FPERIOD_OVERRIDE=FQ","FILING_STATUS=OR","SCALING_FORMAT=MLN","Sort=A","Dates=H","DateFormat=P","Fill=—","Direction=H","UseDPDF=Y")</f>
        <v>395371.022</v>
      </c>
      <c r="AF12" s="16">
        <f>_xll.BDH("XOM US Equity","HISTORICAL_MARKET_CAP","FQ4 2005","FQ4 2005","Currency=USD","Period=FQ","BEST_FPERIOD_OVERRIDE=FQ","FILING_STATUS=OR","SCALING_FORMAT=MLN","Sort=A","Dates=H","DateFormat=P","Fill=—","Direction=H","UseDPDF=Y")</f>
        <v>344490.61</v>
      </c>
      <c r="AG12" s="16">
        <f>_xll.BDH("XOM US Equity","HISTORICAL_MARKET_CAP","FQ1 2006","FQ1 2006","Currency=USD","Period=FQ","BEST_FPERIOD_OVERRIDE=FQ","FILING_STATUS=OR","SCALING_FORMAT=MLN","Sort=A","Dates=H","DateFormat=P","Fill=—","Direction=H","UseDPDF=Y")</f>
        <v>368203</v>
      </c>
      <c r="AH12" s="16">
        <f>_xll.BDH("XOM US Equity","HISTORICAL_MARKET_CAP","FQ2 2006","FQ2 2006","Currency=USD","Period=FQ","BEST_FPERIOD_OVERRIDE=FQ","FILING_STATUS=OR","SCALING_FORMAT=MLN","Sort=A","Dates=H","DateFormat=P","Fill=—","Direction=H","UseDPDF=Y")</f>
        <v>364725.75</v>
      </c>
      <c r="AI12" s="16">
        <f>_xll.BDH("XOM US Equity","HISTORICAL_MARKET_CAP","FQ3 2006","FQ3 2006","Currency=USD","Period=FQ","BEST_FPERIOD_OVERRIDE=FQ","FILING_STATUS=OR","SCALING_FORMAT=MLN","Sort=A","Dates=H","DateFormat=P","Fill=—","Direction=H","UseDPDF=Y")</f>
        <v>391327.2</v>
      </c>
      <c r="AJ12" s="16">
        <f>_xll.BDH("XOM US Equity","HISTORICAL_MARKET_CAP","FQ4 2006","FQ4 2006","Currency=USD","Period=FQ","BEST_FPERIOD_OVERRIDE=FQ","FILING_STATUS=OR","SCALING_FORMAT=MLN","Sort=A","Dates=H","DateFormat=P","Fill=—","Direction=H","UseDPDF=Y")</f>
        <v>439013.27</v>
      </c>
      <c r="AK12" s="16">
        <f>_xll.BDH("XOM US Equity","HISTORICAL_MARKET_CAP","FQ1 2007","FQ1 2007","Currency=USD","Period=FQ","BEST_FPERIOD_OVERRIDE=FQ","FILING_STATUS=OR","SCALING_FORMAT=MLN","Sort=A","Dates=H","DateFormat=P","Fill=—","Direction=H","UseDPDF=Y")</f>
        <v>425009.85</v>
      </c>
      <c r="AL12" s="16">
        <f>_xll.BDH("XOM US Equity","HISTORICAL_MARKET_CAP","FQ2 2007","FQ2 2007","Currency=USD","Period=FQ","BEST_FPERIOD_OVERRIDE=FQ","FILING_STATUS=OR","SCALING_FORMAT=MLN","Sort=A","Dates=H","DateFormat=P","Fill=—","Direction=H","UseDPDF=Y")</f>
        <v>465198.48</v>
      </c>
      <c r="AM12" s="16">
        <f>_xll.BDH("XOM US Equity","HISTORICAL_MARKET_CAP","FQ3 2007","FQ3 2007","Currency=USD","Period=FQ","BEST_FPERIOD_OVERRIDE=FQ","FILING_STATUS=OR","SCALING_FORMAT=MLN","Sort=A","Dates=H","DateFormat=P","Fill=—","Direction=H","UseDPDF=Y")</f>
        <v>505655.28</v>
      </c>
      <c r="AN12" s="16">
        <f>_xll.BDH("XOM US Equity","HISTORICAL_MARKET_CAP","FQ4 2007","FQ4 2007","Currency=USD","Period=FQ","BEST_FPERIOD_OVERRIDE=FQ","FILING_STATUS=OR","SCALING_FORMAT=MLN","Sort=A","Dates=H","DateFormat=P","Fill=—","Direction=H","UseDPDF=Y")</f>
        <v>504239.58</v>
      </c>
      <c r="AO12" s="16">
        <f>_xll.BDH("XOM US Equity","HISTORICAL_MARKET_CAP","FQ1 2008","FQ1 2008","Currency=USD","Period=FQ","BEST_FPERIOD_OVERRIDE=FQ","FILING_STATUS=OR","SCALING_FORMAT=MLN","Sort=A","Dates=H","DateFormat=P","Fill=—","Direction=H","UseDPDF=Y")</f>
        <v>446836.14</v>
      </c>
      <c r="AP12" s="16">
        <f>_xll.BDH("XOM US Equity","HISTORICAL_MARKET_CAP","FQ2 2008","FQ2 2008","Currency=USD","Period=FQ","BEST_FPERIOD_OVERRIDE=FQ","FILING_STATUS=OR","SCALING_FORMAT=MLN","Sort=A","Dates=H","DateFormat=P","Fill=—","Direction=H","UseDPDF=Y")</f>
        <v>457747.22</v>
      </c>
    </row>
    <row r="13" spans="1:42" x14ac:dyDescent="0.25">
      <c r="A13" s="10" t="s">
        <v>388</v>
      </c>
      <c r="B13" s="10" t="s">
        <v>389</v>
      </c>
      <c r="C13" s="14">
        <f>_xll.BDH("XOM US Equity","EQY_SH_OUT","FQ3 1998","FQ3 1998","Currency=USD","Period=FQ","BEST_FPERIOD_OVERRIDE=FQ","FILING_STATUS=OR","Sort=A","Dates=H","DateFormat=P","Fill=—","Direction=H","UseDPDF=Y")</f>
        <v>4876.8140000000003</v>
      </c>
      <c r="D13" s="14">
        <f>_xll.BDH("XOM US Equity","EQY_SH_OUT","FQ4 1998","FQ4 1998","Currency=USD","Period=FQ","BEST_FPERIOD_OVERRIDE=FQ","FILING_STATUS=OR","Sort=A","Dates=H","DateFormat=P","Fill=—","Direction=H","UseDPDF=Y")</f>
        <v>4862.46</v>
      </c>
      <c r="E13" s="14">
        <f>_xll.BDH("XOM US Equity","EQY_SH_OUT","FQ1 1999","FQ1 1999","Currency=USD","Period=FQ","BEST_FPERIOD_OVERRIDE=FQ","FILING_STATUS=OR","Sort=A","Dates=H","DateFormat=P","Fill=—","Direction=H","UseDPDF=Y")</f>
        <v>4856</v>
      </c>
      <c r="F13" s="14">
        <f>_xll.BDH("XOM US Equity","EQY_SH_OUT","FQ2 1999","FQ2 1999","Currency=USD","Period=FQ","BEST_FPERIOD_OVERRIDE=FQ","FILING_STATUS=OR","Sort=A","Dates=H","DateFormat=P","Fill=—","Direction=H","UseDPDF=Y")</f>
        <v>4855.5709999999999</v>
      </c>
      <c r="G13" s="14">
        <f>_xll.BDH("XOM US Equity","EQY_SH_OUT","FQ3 1999","FQ3 1999","Currency=USD","Period=FQ","BEST_FPERIOD_OVERRIDE=FQ","FILING_STATUS=OR","Sort=A","Dates=H","DateFormat=P","Fill=—","Direction=H","UseDPDF=Y")</f>
        <v>4856</v>
      </c>
      <c r="H13" s="14">
        <f>_xll.BDH("XOM US Equity","EQY_SH_OUT","FQ4 1999","FQ4 1999","Currency=USD","Period=FQ","BEST_FPERIOD_OVERRIDE=FQ","FILING_STATUS=OR","Sort=A","Dates=H","DateFormat=P","Fill=—","Direction=H","UseDPDF=Y")</f>
        <v>4855.57</v>
      </c>
      <c r="I13" s="14">
        <f>_xll.BDH("XOM US Equity","EQY_SH_OUT","FQ1 2000","FQ1 2000","Currency=USD","Period=FQ","BEST_FPERIOD_OVERRIDE=FQ","FILING_STATUS=OR","Sort=A","Dates=H","DateFormat=P","Fill=—","Direction=H","UseDPDF=Y")</f>
        <v>6954</v>
      </c>
      <c r="J13" s="14">
        <f>_xll.BDH("XOM US Equity","EQY_SH_OUT","FQ2 2000","FQ2 2000","Currency=USD","Period=FQ","BEST_FPERIOD_OVERRIDE=FQ","FILING_STATUS=OR","Sort=A","Dates=H","DateFormat=P","Fill=—","Direction=H","UseDPDF=Y")</f>
        <v>6962.2520000000004</v>
      </c>
      <c r="K13" s="14">
        <f>_xll.BDH("XOM US Equity","EQY_SH_OUT","FQ3 2000","FQ3 2000","Currency=USD","Period=FQ","BEST_FPERIOD_OVERRIDE=FQ","FILING_STATUS=OR","Sort=A","Dates=H","DateFormat=P","Fill=—","Direction=H","UseDPDF=Y")</f>
        <v>6967.6819999999998</v>
      </c>
      <c r="L13" s="14">
        <f>_xll.BDH("XOM US Equity","EQY_SH_OUT","FQ4 2000","FQ4 2000","Currency=USD","Period=FQ","BEST_FPERIOD_OVERRIDE=FQ","FILING_STATUS=OR","Sort=A","Dates=H","DateFormat=P","Fill=—","Direction=H","UseDPDF=Y")</f>
        <v>6952</v>
      </c>
      <c r="M13" s="14">
        <f>_xll.BDH("XOM US Equity","EQY_SH_OUT","FQ1 2001","FQ1 2001","Currency=USD","Period=FQ","BEST_FPERIOD_OVERRIDE=FQ","FILING_STATUS=OR","Sort=A","Dates=H","DateFormat=P","Fill=—","Direction=H","UseDPDF=Y")</f>
        <v>6910.8180000000002</v>
      </c>
      <c r="N13" s="14">
        <f>_xll.BDH("XOM US Equity","EQY_SH_OUT","FQ2 2001","FQ2 2001","Currency=USD","Period=FQ","BEST_FPERIOD_OVERRIDE=FQ","FILING_STATUS=OR","Sort=A","Dates=H","DateFormat=P","Fill=—","Direction=H","UseDPDF=Y")</f>
        <v>6899.7529999999997</v>
      </c>
      <c r="O13" s="14">
        <f>_xll.BDH("XOM US Equity","EQY_SH_OUT","FQ3 2001","FQ3 2001","Currency=USD","Period=FQ","BEST_FPERIOD_OVERRIDE=FQ","FILING_STATUS=OR","Sort=A","Dates=H","DateFormat=P","Fill=—","Direction=H","UseDPDF=Y")</f>
        <v>6871.0789999999997</v>
      </c>
      <c r="P13" s="14">
        <f>_xll.BDH("XOM US Equity","EQY_SH_OUT","FQ4 2001","FQ4 2001","Currency=USD","Period=FQ","BEST_FPERIOD_OVERRIDE=FQ","FILING_STATUS=OR","Sort=A","Dates=H","DateFormat=P","Fill=—","Direction=H","UseDPDF=Y")</f>
        <v>6840</v>
      </c>
      <c r="Q13" s="14">
        <f>_xll.BDH("XOM US Equity","EQY_SH_OUT","FQ1 2002","FQ1 2002","Currency=USD","Period=FQ","BEST_FPERIOD_OVERRIDE=FQ","FILING_STATUS=OR","Sort=A","Dates=H","DateFormat=P","Fill=—","Direction=H","UseDPDF=Y")</f>
        <v>6792.598</v>
      </c>
      <c r="R13" s="14">
        <f>_xll.BDH("XOM US Equity","EQY_SH_OUT","FQ2 2002","FQ2 2002","Currency=USD","Period=FQ","BEST_FPERIOD_OVERRIDE=FQ","FILING_STATUS=OR","Sort=A","Dates=H","DateFormat=P","Fill=—","Direction=H","UseDPDF=Y")</f>
        <v>6782.0209999999997</v>
      </c>
      <c r="S13" s="14">
        <f>_xll.BDH("XOM US Equity","EQY_SH_OUT","FQ3 2002","FQ3 2002","Currency=USD","Period=FQ","BEST_FPERIOD_OVERRIDE=FQ","FILING_STATUS=OR","Sort=A","Dates=H","DateFormat=P","Fill=—","Direction=H","UseDPDF=Y")</f>
        <v>6757.4409999999998</v>
      </c>
      <c r="T13" s="14">
        <f>_xll.BDH("XOM US Equity","EQY_SH_OUT","FQ4 2002","FQ4 2002","Currency=USD","Period=FQ","BEST_FPERIOD_OVERRIDE=FQ","FILING_STATUS=OR","Sort=A","Dates=H","DateFormat=P","Fill=—","Direction=H","UseDPDF=Y")</f>
        <v>6728.8980000000001</v>
      </c>
      <c r="U13" s="14">
        <f>_xll.BDH("XOM US Equity","EQY_SH_OUT","FQ1 2003","FQ1 2003","Currency=USD","Period=FQ","BEST_FPERIOD_OVERRIDE=FQ","FILING_STATUS=OR","Sort=A","Dates=H","DateFormat=P","Fill=—","Direction=H","UseDPDF=Y")</f>
        <v>6689.8819999999996</v>
      </c>
      <c r="V13" s="14">
        <f>_xll.BDH("XOM US Equity","EQY_SH_OUT","FQ2 2003","FQ2 2003","Currency=USD","Period=FQ","BEST_FPERIOD_OVERRIDE=FQ","FILING_STATUS=OR","Sort=A","Dates=H","DateFormat=P","Fill=—","Direction=H","UseDPDF=Y")</f>
        <v>6679.3909999999996</v>
      </c>
      <c r="W13" s="14">
        <f>_xll.BDH("XOM US Equity","EQY_SH_OUT","FQ3 2003","FQ3 2003","Currency=USD","Period=FQ","BEST_FPERIOD_OVERRIDE=FQ","FILING_STATUS=OR","Sort=A","Dates=H","DateFormat=P","Fill=—","Direction=H","UseDPDF=Y")</f>
        <v>6636.8549999999996</v>
      </c>
      <c r="X13" s="14">
        <f>_xll.BDH("XOM US Equity","EQY_SH_OUT","FQ4 2003","FQ4 2003","Currency=USD","Period=FQ","BEST_FPERIOD_OVERRIDE=FQ","FILING_STATUS=OR","Sort=A","Dates=H","DateFormat=P","Fill=—","Direction=H","UseDPDF=Y")</f>
        <v>6609.8</v>
      </c>
      <c r="Y13" s="14">
        <f>_xll.BDH("XOM US Equity","EQY_SH_OUT","FQ1 2004","FQ1 2004","Currency=USD","Period=FQ","BEST_FPERIOD_OVERRIDE=FQ","FILING_STATUS=OR","Sort=A","Dates=H","DateFormat=P","Fill=—","Direction=H","UseDPDF=Y")</f>
        <v>6557.5230000000001</v>
      </c>
      <c r="Z13" s="14">
        <f>_xll.BDH("XOM US Equity","EQY_SH_OUT","FQ2 2004","FQ2 2004","Currency=USD","Period=FQ","BEST_FPERIOD_OVERRIDE=FQ","FILING_STATUS=OR","Sort=A","Dates=H","DateFormat=P","Fill=—","Direction=H","UseDPDF=Y")</f>
        <v>6540.0460000000003</v>
      </c>
      <c r="AA13" s="14">
        <f>_xll.BDH("XOM US Equity","EQY_SH_OUT","FQ3 2004","FQ3 2004","Currency=USD","Period=FQ","BEST_FPERIOD_OVERRIDE=FQ","FILING_STATUS=OR","Sort=A","Dates=H","DateFormat=P","Fill=—","Direction=H","UseDPDF=Y")</f>
        <v>6505.5069999999996</v>
      </c>
      <c r="AB13" s="14">
        <f>_xll.BDH("XOM US Equity","EQY_SH_OUT","FQ4 2004","FQ4 2004","Currency=USD","Period=FQ","BEST_FPERIOD_OVERRIDE=FQ","FILING_STATUS=OR","Sort=A","Dates=H","DateFormat=P","Fill=—","Direction=H","UseDPDF=Y")</f>
        <v>6451.2950000000001</v>
      </c>
      <c r="AC13" s="14">
        <f>_xll.BDH("XOM US Equity","EQY_SH_OUT","FQ1 2005","FQ1 2005","Currency=USD","Period=FQ","BEST_FPERIOD_OVERRIDE=FQ","FILING_STATUS=OR","Sort=A","Dates=H","DateFormat=P","Fill=—","Direction=H","UseDPDF=Y")</f>
        <v>6385.3580000000002</v>
      </c>
      <c r="AD13" s="14">
        <f>_xll.BDH("XOM US Equity","EQY_SH_OUT","FQ2 2005","FQ2 2005","Currency=USD","Period=FQ","BEST_FPERIOD_OVERRIDE=FQ","FILING_STATUS=OR","Sort=A","Dates=H","DateFormat=P","Fill=—","Direction=H","UseDPDF=Y")</f>
        <v>6365.7340000000004</v>
      </c>
      <c r="AE13" s="14">
        <f>_xll.BDH("XOM US Equity","EQY_SH_OUT","FQ3 2005","FQ3 2005","Currency=USD","Period=FQ","BEST_FPERIOD_OVERRIDE=FQ","FILING_STATUS=OR","Sort=A","Dates=H","DateFormat=P","Fill=—","Direction=H","UseDPDF=Y")</f>
        <v>6305.1310000000003</v>
      </c>
      <c r="AF13" s="14">
        <f>_xll.BDH("XOM US Equity","EQY_SH_OUT","FQ4 2005","FQ4 2005","Currency=USD","Period=FQ","BEST_FPERIOD_OVERRIDE=FQ","FILING_STATUS=OR","Sort=A","Dates=H","DateFormat=P","Fill=—","Direction=H","UseDPDF=Y")</f>
        <v>6222.3959999999997</v>
      </c>
      <c r="AG13" s="14">
        <f>_xll.BDH("XOM US Equity","EQY_SH_OUT","FQ1 2006","FQ1 2006","Currency=USD","Period=FQ","BEST_FPERIOD_OVERRIDE=FQ","FILING_STATUS=OR","Sort=A","Dates=H","DateFormat=P","Fill=—","Direction=H","UseDPDF=Y")</f>
        <v>6106.3329999999996</v>
      </c>
      <c r="AH13" s="14">
        <f>_xll.BDH("XOM US Equity","EQY_SH_OUT","FQ2 2006","FQ2 2006","Currency=USD","Period=FQ","BEST_FPERIOD_OVERRIDE=FQ","FILING_STATUS=OR","Sort=A","Dates=H","DateFormat=P","Fill=—","Direction=H","UseDPDF=Y")</f>
        <v>6050.3239999999996</v>
      </c>
      <c r="AI13" s="14">
        <f>_xll.BDH("XOM US Equity","EQY_SH_OUT","FQ3 2006","FQ3 2006","Currency=USD","Period=FQ","BEST_FPERIOD_OVERRIDE=FQ","FILING_STATUS=OR","Sort=A","Dates=H","DateFormat=P","Fill=—","Direction=H","UseDPDF=Y")</f>
        <v>5944.9570000000003</v>
      </c>
      <c r="AJ13" s="14">
        <f>_xll.BDH("XOM US Equity","EQY_SH_OUT","FQ4 2006","FQ4 2006","Currency=USD","Period=FQ","BEST_FPERIOD_OVERRIDE=FQ","FILING_STATUS=OR","Sort=A","Dates=H","DateFormat=P","Fill=—","Direction=H","UseDPDF=Y")</f>
        <v>5832.4880000000003</v>
      </c>
      <c r="AK13" s="14">
        <f>_xll.BDH("XOM US Equity","EQY_SH_OUT","FQ1 2007","FQ1 2007","Currency=USD","Period=FQ","BEST_FPERIOD_OVERRIDE=FQ","FILING_STATUS=OR","Sort=A","Dates=H","DateFormat=P","Fill=—","Direction=H","UseDPDF=Y")</f>
        <v>5693.3990000000003</v>
      </c>
      <c r="AL13" s="14">
        <f>_xll.BDH("XOM US Equity","EQY_SH_OUT","FQ2 2007","FQ2 2007","Currency=USD","Period=FQ","BEST_FPERIOD_OVERRIDE=FQ","FILING_STATUS=OR","Sort=A","Dates=H","DateFormat=P","Fill=—","Direction=H","UseDPDF=Y")</f>
        <v>5633.27</v>
      </c>
      <c r="AM13" s="14">
        <f>_xll.BDH("XOM US Equity","EQY_SH_OUT","FQ3 2007","FQ3 2007","Currency=USD","Period=FQ","BEST_FPERIOD_OVERRIDE=FQ","FILING_STATUS=OR","Sort=A","Dates=H","DateFormat=P","Fill=—","Direction=H","UseDPDF=Y")</f>
        <v>5546.2619999999997</v>
      </c>
      <c r="AN13" s="14">
        <f>_xll.BDH("XOM US Equity","EQY_SH_OUT","FQ4 2007","FQ4 2007","Currency=USD","Period=FQ","BEST_FPERIOD_OVERRIDE=FQ","FILING_STATUS=OR","Sort=A","Dates=H","DateFormat=P","Fill=—","Direction=H","UseDPDF=Y")</f>
        <v>5463.625</v>
      </c>
      <c r="AO13" s="14">
        <f>_xll.BDH("XOM US Equity","EQY_SH_OUT","FQ1 2008","FQ1 2008","Currency=USD","Period=FQ","BEST_FPERIOD_OVERRIDE=FQ","FILING_STATUS=OR","Sort=A","Dates=H","DateFormat=P","Fill=—","Direction=H","UseDPDF=Y")</f>
        <v>5350.027</v>
      </c>
      <c r="AP13" s="14">
        <f>_xll.BDH("XOM US Equity","EQY_SH_OUT","FQ2 2008","FQ2 2008","Currency=USD","Period=FQ","BEST_FPERIOD_OVERRIDE=FQ","FILING_STATUS=OR","Sort=A","Dates=H","DateFormat=P","Fill=—","Direction=H","UseDPDF=Y")</f>
        <v>5283.6940000000004</v>
      </c>
    </row>
    <row r="14" spans="1:42" x14ac:dyDescent="0.25">
      <c r="A14" s="10" t="s">
        <v>390</v>
      </c>
      <c r="B14" s="10" t="s">
        <v>391</v>
      </c>
      <c r="C14" s="14" t="str">
        <f>_xll.BDH("XOM US Equity","EQY_FLOAT","FQ3 1998","FQ3 1998","Currency=USD","Period=FQ","BEST_FPERIOD_OVERRIDE=FQ","FILING_STATUS=OR","Sort=A","Dates=H","DateFormat=P","Fill=—","Direction=H","UseDPDF=Y")</f>
        <v>—</v>
      </c>
      <c r="D14" s="14" t="str">
        <f>_xll.BDH("XOM US Equity","EQY_FLOAT","FQ4 1998","FQ4 1998","Currency=USD","Period=FQ","BEST_FPERIOD_OVERRIDE=FQ","FILING_STATUS=OR","Sort=A","Dates=H","DateFormat=P","Fill=—","Direction=H","UseDPDF=Y")</f>
        <v>—</v>
      </c>
      <c r="E14" s="14" t="str">
        <f>_xll.BDH("XOM US Equity","EQY_FLOAT","FQ1 1999","FQ1 1999","Currency=USD","Period=FQ","BEST_FPERIOD_OVERRIDE=FQ","FILING_STATUS=OR","Sort=A","Dates=H","DateFormat=P","Fill=—","Direction=H","UseDPDF=Y")</f>
        <v>—</v>
      </c>
      <c r="F14" s="14" t="str">
        <f>_xll.BDH("XOM US Equity","EQY_FLOAT","FQ2 1999","FQ2 1999","Currency=USD","Period=FQ","BEST_FPERIOD_OVERRIDE=FQ","FILING_STATUS=OR","Sort=A","Dates=H","DateFormat=P","Fill=—","Direction=H","UseDPDF=Y")</f>
        <v>—</v>
      </c>
      <c r="G14" s="14" t="str">
        <f>_xll.BDH("XOM US Equity","EQY_FLOAT","FQ3 1999","FQ3 1999","Currency=USD","Period=FQ","BEST_FPERIOD_OVERRIDE=FQ","FILING_STATUS=OR","Sort=A","Dates=H","DateFormat=P","Fill=—","Direction=H","UseDPDF=Y")</f>
        <v>—</v>
      </c>
      <c r="H14" s="14" t="str">
        <f>_xll.BDH("XOM US Equity","EQY_FLOAT","FQ4 1999","FQ4 1999","Currency=USD","Period=FQ","BEST_FPERIOD_OVERRIDE=FQ","FILING_STATUS=OR","Sort=A","Dates=H","DateFormat=P","Fill=—","Direction=H","UseDPDF=Y")</f>
        <v>—</v>
      </c>
      <c r="I14" s="14" t="str">
        <f>_xll.BDH("XOM US Equity","EQY_FLOAT","FQ1 2000","FQ1 2000","Currency=USD","Period=FQ","BEST_FPERIOD_OVERRIDE=FQ","FILING_STATUS=OR","Sort=A","Dates=H","DateFormat=P","Fill=—","Direction=H","UseDPDF=Y")</f>
        <v>—</v>
      </c>
      <c r="J14" s="14" t="str">
        <f>_xll.BDH("XOM US Equity","EQY_FLOAT","FQ2 2000","FQ2 2000","Currency=USD","Period=FQ","BEST_FPERIOD_OVERRIDE=FQ","FILING_STATUS=OR","Sort=A","Dates=H","DateFormat=P","Fill=—","Direction=H","UseDPDF=Y")</f>
        <v>—</v>
      </c>
      <c r="K14" s="14" t="str">
        <f>_xll.BDH("XOM US Equity","EQY_FLOAT","FQ3 2000","FQ3 2000","Currency=USD","Period=FQ","BEST_FPERIOD_OVERRIDE=FQ","FILING_STATUS=OR","Sort=A","Dates=H","DateFormat=P","Fill=—","Direction=H","UseDPDF=Y")</f>
        <v>—</v>
      </c>
      <c r="L14" s="14" t="str">
        <f>_xll.BDH("XOM US Equity","EQY_FLOAT","FQ4 2000","FQ4 2000","Currency=USD","Period=FQ","BEST_FPERIOD_OVERRIDE=FQ","FILING_STATUS=OR","Sort=A","Dates=H","DateFormat=P","Fill=—","Direction=H","UseDPDF=Y")</f>
        <v>—</v>
      </c>
      <c r="M14" s="14" t="str">
        <f>_xll.BDH("XOM US Equity","EQY_FLOAT","FQ1 2001","FQ1 2001","Currency=USD","Period=FQ","BEST_FPERIOD_OVERRIDE=FQ","FILING_STATUS=OR","Sort=A","Dates=H","DateFormat=P","Fill=—","Direction=H","UseDPDF=Y")</f>
        <v>—</v>
      </c>
      <c r="N14" s="14" t="str">
        <f>_xll.BDH("XOM US Equity","EQY_FLOAT","FQ2 2001","FQ2 2001","Currency=USD","Period=FQ","BEST_FPERIOD_OVERRIDE=FQ","FILING_STATUS=OR","Sort=A","Dates=H","DateFormat=P","Fill=—","Direction=H","UseDPDF=Y")</f>
        <v>—</v>
      </c>
      <c r="O14" s="14" t="str">
        <f>_xll.BDH("XOM US Equity","EQY_FLOAT","FQ3 2001","FQ3 2001","Currency=USD","Period=FQ","BEST_FPERIOD_OVERRIDE=FQ","FILING_STATUS=OR","Sort=A","Dates=H","DateFormat=P","Fill=—","Direction=H","UseDPDF=Y")</f>
        <v>—</v>
      </c>
      <c r="P14" s="14" t="str">
        <f>_xll.BDH("XOM US Equity","EQY_FLOAT","FQ4 2001","FQ4 2001","Currency=USD","Period=FQ","BEST_FPERIOD_OVERRIDE=FQ","FILING_STATUS=OR","Sort=A","Dates=H","DateFormat=P","Fill=—","Direction=H","UseDPDF=Y")</f>
        <v>—</v>
      </c>
      <c r="Q14" s="14" t="str">
        <f>_xll.BDH("XOM US Equity","EQY_FLOAT","FQ1 2002","FQ1 2002","Currency=USD","Period=FQ","BEST_FPERIOD_OVERRIDE=FQ","FILING_STATUS=OR","Sort=A","Dates=H","DateFormat=P","Fill=—","Direction=H","UseDPDF=Y")</f>
        <v>—</v>
      </c>
      <c r="R14" s="14" t="str">
        <f>_xll.BDH("XOM US Equity","EQY_FLOAT","FQ2 2002","FQ2 2002","Currency=USD","Period=FQ","BEST_FPERIOD_OVERRIDE=FQ","FILING_STATUS=OR","Sort=A","Dates=H","DateFormat=P","Fill=—","Direction=H","UseDPDF=Y")</f>
        <v>—</v>
      </c>
      <c r="S14" s="14" t="str">
        <f>_xll.BDH("XOM US Equity","EQY_FLOAT","FQ3 2002","FQ3 2002","Currency=USD","Period=FQ","BEST_FPERIOD_OVERRIDE=FQ","FILING_STATUS=OR","Sort=A","Dates=H","DateFormat=P","Fill=—","Direction=H","UseDPDF=Y")</f>
        <v>—</v>
      </c>
      <c r="T14" s="14" t="str">
        <f>_xll.BDH("XOM US Equity","EQY_FLOAT","FQ4 2002","FQ4 2002","Currency=USD","Period=FQ","BEST_FPERIOD_OVERRIDE=FQ","FILING_STATUS=OR","Sort=A","Dates=H","DateFormat=P","Fill=—","Direction=H","UseDPDF=Y")</f>
        <v>—</v>
      </c>
      <c r="U14" s="14" t="str">
        <f>_xll.BDH("XOM US Equity","EQY_FLOAT","FQ1 2003","FQ1 2003","Currency=USD","Period=FQ","BEST_FPERIOD_OVERRIDE=FQ","FILING_STATUS=OR","Sort=A","Dates=H","DateFormat=P","Fill=—","Direction=H","UseDPDF=Y")</f>
        <v>—</v>
      </c>
      <c r="V14" s="14" t="str">
        <f>_xll.BDH("XOM US Equity","EQY_FLOAT","FQ2 2003","FQ2 2003","Currency=USD","Period=FQ","BEST_FPERIOD_OVERRIDE=FQ","FILING_STATUS=OR","Sort=A","Dates=H","DateFormat=P","Fill=—","Direction=H","UseDPDF=Y")</f>
        <v>—</v>
      </c>
      <c r="W14" s="14" t="str">
        <f>_xll.BDH("XOM US Equity","EQY_FLOAT","FQ3 2003","FQ3 2003","Currency=USD","Period=FQ","BEST_FPERIOD_OVERRIDE=FQ","FILING_STATUS=OR","Sort=A","Dates=H","DateFormat=P","Fill=—","Direction=H","UseDPDF=Y")</f>
        <v>—</v>
      </c>
      <c r="X14" s="14">
        <f>_xll.BDH("XOM US Equity","EQY_FLOAT","FQ4 2003","FQ4 2003","Currency=USD","Period=FQ","BEST_FPERIOD_OVERRIDE=FQ","FILING_STATUS=OR","Sort=A","Dates=H","DateFormat=P","Fill=—","Direction=H","UseDPDF=Y")</f>
        <v>6601.0969999999998</v>
      </c>
      <c r="Y14" s="14">
        <f>_xll.BDH("XOM US Equity","EQY_FLOAT","FQ1 2004","FQ1 2004","Currency=USD","Period=FQ","BEST_FPERIOD_OVERRIDE=FQ","FILING_STATUS=OR","Sort=A","Dates=H","DateFormat=P","Fill=—","Direction=H","UseDPDF=Y")</f>
        <v>6548.7619999999997</v>
      </c>
      <c r="Z14" s="14">
        <f>_xll.BDH("XOM US Equity","EQY_FLOAT","FQ2 2004","FQ2 2004","Currency=USD","Period=FQ","BEST_FPERIOD_OVERRIDE=FQ","FILING_STATUS=OR","Sort=A","Dates=H","DateFormat=P","Fill=—","Direction=H","UseDPDF=Y")</f>
        <v>6531.2240000000002</v>
      </c>
      <c r="AA14" s="14">
        <f>_xll.BDH("XOM US Equity","EQY_FLOAT","FQ3 2004","FQ3 2004","Currency=USD","Period=FQ","BEST_FPERIOD_OVERRIDE=FQ","FILING_STATUS=OR","Sort=A","Dates=H","DateFormat=P","Fill=—","Direction=H","UseDPDF=Y")</f>
        <v>6496.8919999999998</v>
      </c>
      <c r="AB14" s="14">
        <f>_xll.BDH("XOM US Equity","EQY_FLOAT","FQ4 2004","FQ4 2004","Currency=USD","Period=FQ","BEST_FPERIOD_OVERRIDE=FQ","FILING_STATUS=OR","Sort=A","Dates=H","DateFormat=P","Fill=—","Direction=H","UseDPDF=Y")</f>
        <v>6440.4309999999996</v>
      </c>
      <c r="AC14" s="14">
        <f>_xll.BDH("XOM US Equity","EQY_FLOAT","FQ1 2005","FQ1 2005","Currency=USD","Period=FQ","BEST_FPERIOD_OVERRIDE=FQ","FILING_STATUS=OR","Sort=A","Dates=H","DateFormat=P","Fill=—","Direction=H","UseDPDF=Y")</f>
        <v>6374.3459999999995</v>
      </c>
      <c r="AD14" s="14">
        <f>_xll.BDH("XOM US Equity","EQY_FLOAT","FQ2 2005","FQ2 2005","Currency=USD","Period=FQ","BEST_FPERIOD_OVERRIDE=FQ","FILING_STATUS=OR","Sort=A","Dates=H","DateFormat=P","Fill=—","Direction=H","UseDPDF=Y")</f>
        <v>6354.6729999999998</v>
      </c>
      <c r="AE14" s="14">
        <f>_xll.BDH("XOM US Equity","EQY_FLOAT","FQ3 2005","FQ3 2005","Currency=USD","Period=FQ","BEST_FPERIOD_OVERRIDE=FQ","FILING_STATUS=OR","Sort=A","Dates=H","DateFormat=P","Fill=—","Direction=H","UseDPDF=Y")</f>
        <v>6293.9849999999997</v>
      </c>
      <c r="AF14" s="14">
        <f>_xll.BDH("XOM US Equity","EQY_FLOAT","FQ4 2005","FQ4 2005","Currency=USD","Period=FQ","BEST_FPERIOD_OVERRIDE=FQ","FILING_STATUS=OR","Sort=A","Dates=H","DateFormat=P","Fill=—","Direction=H","UseDPDF=Y")</f>
        <v>6215.0290000000005</v>
      </c>
      <c r="AG14" s="14">
        <f>_xll.BDH("XOM US Equity","EQY_FLOAT","FQ1 2006","FQ1 2006","Currency=USD","Period=FQ","BEST_FPERIOD_OVERRIDE=FQ","FILING_STATUS=OR","Sort=A","Dates=H","DateFormat=P","Fill=—","Direction=H","UseDPDF=Y")</f>
        <v>6098.34</v>
      </c>
      <c r="AH14" s="14">
        <f>_xll.BDH("XOM US Equity","EQY_FLOAT","FQ2 2006","FQ2 2006","Currency=USD","Period=FQ","BEST_FPERIOD_OVERRIDE=FQ","FILING_STATUS=OR","Sort=A","Dates=H","DateFormat=P","Fill=—","Direction=H","UseDPDF=Y")</f>
        <v>6042.2120000000004</v>
      </c>
      <c r="AI14" s="14">
        <f>_xll.BDH("XOM US Equity","EQY_FLOAT","FQ3 2006","FQ3 2006","Currency=USD","Period=FQ","BEST_FPERIOD_OVERRIDE=FQ","FILING_STATUS=OR","Sort=A","Dates=H","DateFormat=P","Fill=—","Direction=H","UseDPDF=Y")</f>
        <v>5936.8729999999996</v>
      </c>
      <c r="AJ14" s="14">
        <f>_xll.BDH("XOM US Equity","EQY_FLOAT","FQ4 2006","FQ4 2006","Currency=USD","Period=FQ","BEST_FPERIOD_OVERRIDE=FQ","FILING_STATUS=OR","Sort=A","Dates=H","DateFormat=P","Fill=—","Direction=H","UseDPDF=Y")</f>
        <v>5823.1369999999997</v>
      </c>
      <c r="AK14" s="14">
        <f>_xll.BDH("XOM US Equity","EQY_FLOAT","FQ1 2007","FQ1 2007","Currency=USD","Period=FQ","BEST_FPERIOD_OVERRIDE=FQ","FILING_STATUS=OR","Sort=A","Dates=H","DateFormat=P","Fill=—","Direction=H","UseDPDF=Y")</f>
        <v>5683.1229999999996</v>
      </c>
      <c r="AL14" s="14">
        <f>_xll.BDH("XOM US Equity","EQY_FLOAT","FQ2 2007","FQ2 2007","Currency=USD","Period=FQ","BEST_FPERIOD_OVERRIDE=FQ","FILING_STATUS=OR","Sort=A","Dates=H","DateFormat=P","Fill=—","Direction=H","UseDPDF=Y")</f>
        <v>5622.5919999999996</v>
      </c>
      <c r="AM14" s="14">
        <f>_xll.BDH("XOM US Equity","EQY_FLOAT","FQ3 2007","FQ3 2007","Currency=USD","Period=FQ","BEST_FPERIOD_OVERRIDE=FQ","FILING_STATUS=OR","Sort=A","Dates=H","DateFormat=P","Fill=—","Direction=H","UseDPDF=Y")</f>
        <v>5536.2619999999997</v>
      </c>
      <c r="AN14" s="14">
        <f>_xll.BDH("XOM US Equity","EQY_FLOAT","FQ4 2007","FQ4 2007","Currency=USD","Period=FQ","BEST_FPERIOD_OVERRIDE=FQ","FILING_STATUS=OR","Sort=A","Dates=H","DateFormat=P","Fill=—","Direction=H","UseDPDF=Y")</f>
        <v>5452.607</v>
      </c>
      <c r="AO14" s="14">
        <f>_xll.BDH("XOM US Equity","EQY_FLOAT","FQ1 2008","FQ1 2008","Currency=USD","Period=FQ","BEST_FPERIOD_OVERRIDE=FQ","FILING_STATUS=OR","Sort=A","Dates=H","DateFormat=P","Fill=—","Direction=H","UseDPDF=Y")</f>
        <v>5339.9989999999998</v>
      </c>
      <c r="AP14" s="14">
        <f>_xll.BDH("XOM US Equity","EQY_FLOAT","FQ2 2008","FQ2 2008","Currency=USD","Period=FQ","BEST_FPERIOD_OVERRIDE=FQ","FILING_STATUS=OR","Sort=A","Dates=H","DateFormat=P","Fill=—","Direction=H","UseDPDF=Y")</f>
        <v>5273.0540000000001</v>
      </c>
    </row>
    <row r="15" spans="1:42" x14ac:dyDescent="0.25">
      <c r="A15" s="7" t="s">
        <v>174</v>
      </c>
      <c r="B15" s="7"/>
      <c r="C15" s="7" t="s">
        <v>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- Adjusted</vt:lpstr>
      <vt:lpstr>Bal Sheet - Standardized</vt:lpstr>
      <vt:lpstr>Cash Flow - Standardized</vt:lpstr>
      <vt:lpstr>Per Share</vt:lpstr>
      <vt:lpstr>Stock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Yamin Tang</cp:lastModifiedBy>
  <dcterms:created xsi:type="dcterms:W3CDTF">2013-04-03T15:49:21Z</dcterms:created>
  <dcterms:modified xsi:type="dcterms:W3CDTF">2018-10-23T16:09:44Z</dcterms:modified>
</cp:coreProperties>
</file>